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30" windowWidth="28515" windowHeight="11565"/>
  </bookViews>
  <sheets>
    <sheet name="Localización_de_falla" sheetId="2" r:id="rId1"/>
    <sheet name="Metodo" sheetId="1" r:id="rId2"/>
  </sheets>
  <calcPr calcId="145621"/>
</workbook>
</file>

<file path=xl/calcChain.xml><?xml version="1.0" encoding="utf-8"?>
<calcChain xmlns="http://schemas.openxmlformats.org/spreadsheetml/2006/main">
  <c r="C20" i="2" l="1"/>
  <c r="B20" i="2"/>
  <c r="C19" i="2"/>
  <c r="B19" i="2"/>
  <c r="B21" i="1" l="1"/>
  <c r="C21" i="1"/>
  <c r="A21" i="1"/>
  <c r="B20" i="1"/>
  <c r="E46" i="1" s="1"/>
  <c r="C20" i="1"/>
  <c r="A20" i="1"/>
  <c r="B19" i="1"/>
  <c r="C19" i="1"/>
  <c r="A19" i="1"/>
  <c r="B17" i="1"/>
  <c r="C17" i="1"/>
  <c r="A17" i="1"/>
  <c r="B16" i="1"/>
  <c r="C16" i="1"/>
  <c r="A16" i="1"/>
  <c r="B15" i="1"/>
  <c r="E47" i="1" s="1"/>
  <c r="C15" i="1"/>
  <c r="A15" i="1"/>
  <c r="B14" i="1"/>
  <c r="C14" i="1"/>
  <c r="A14" i="1"/>
  <c r="B13" i="1"/>
  <c r="C13" i="1"/>
  <c r="A13" i="1"/>
  <c r="B10" i="1"/>
  <c r="C10" i="1"/>
  <c r="A10" i="1"/>
  <c r="B9" i="1"/>
  <c r="C9" i="1"/>
  <c r="A9" i="1"/>
  <c r="B8" i="1"/>
  <c r="C8" i="1"/>
  <c r="A8" i="1"/>
  <c r="B6" i="1"/>
  <c r="C6" i="1"/>
  <c r="A6" i="1"/>
  <c r="B5" i="1"/>
  <c r="C5" i="1"/>
  <c r="A5" i="1"/>
  <c r="B4" i="1"/>
  <c r="C4" i="1"/>
  <c r="A4" i="1"/>
  <c r="B3" i="1"/>
  <c r="C3" i="1"/>
  <c r="A3" i="1"/>
  <c r="B2" i="1"/>
  <c r="C2" i="1"/>
  <c r="A2" i="1"/>
  <c r="D24" i="1"/>
  <c r="D31" i="1" l="1"/>
  <c r="A29" i="2" s="1"/>
  <c r="D30" i="1"/>
  <c r="A28" i="2" s="1"/>
  <c r="D29" i="1"/>
  <c r="A27" i="2" s="1"/>
  <c r="D28" i="1"/>
  <c r="A26" i="2" s="1"/>
  <c r="D27" i="1"/>
  <c r="A25" i="2" s="1"/>
  <c r="F25" i="1"/>
  <c r="C23" i="2" s="1"/>
  <c r="E25" i="1"/>
  <c r="B23" i="2" s="1"/>
  <c r="D21" i="1" l="1"/>
  <c r="F21" i="1" s="1"/>
  <c r="D10" i="1"/>
  <c r="F10" i="1" s="1"/>
  <c r="D20" i="1"/>
  <c r="F20" i="1" s="1"/>
  <c r="D19" i="1"/>
  <c r="F19" i="1" s="1"/>
  <c r="D17" i="1"/>
  <c r="E17" i="1" s="1"/>
  <c r="D16" i="1"/>
  <c r="F16" i="1" s="1"/>
  <c r="D15" i="1"/>
  <c r="E15" i="1" s="1"/>
  <c r="D14" i="1"/>
  <c r="F14" i="1" s="1"/>
  <c r="D13" i="1"/>
  <c r="F13" i="1" s="1"/>
  <c r="E10" i="1" l="1"/>
  <c r="G10" i="1" s="1"/>
  <c r="E40" i="1" s="1"/>
  <c r="E21" i="1"/>
  <c r="G21" i="1" s="1"/>
  <c r="E19" i="1"/>
  <c r="G19" i="1" s="1"/>
  <c r="E13" i="1"/>
  <c r="G13" i="1" s="1"/>
  <c r="F17" i="1"/>
  <c r="G17" i="1" s="1"/>
  <c r="E20" i="1"/>
  <c r="G20" i="1" s="1"/>
  <c r="E14" i="1"/>
  <c r="G14" i="1" s="1"/>
  <c r="F15" i="1"/>
  <c r="G15" i="1" s="1"/>
  <c r="E16" i="1"/>
  <c r="G16" i="1" s="1"/>
  <c r="D9" i="1"/>
  <c r="F9" i="1" s="1"/>
  <c r="D3" i="1"/>
  <c r="F3" i="1" s="1"/>
  <c r="D4" i="1"/>
  <c r="F4" i="1" s="1"/>
  <c r="D5" i="1"/>
  <c r="F5" i="1" s="1"/>
  <c r="D6" i="1"/>
  <c r="F6" i="1" s="1"/>
  <c r="D8" i="1"/>
  <c r="E8" i="1" s="1"/>
  <c r="D2" i="1"/>
  <c r="F2" i="1" s="1"/>
  <c r="G18" i="1" l="1"/>
  <c r="B18" i="1" s="1"/>
  <c r="D37" i="1"/>
  <c r="E61" i="1"/>
  <c r="E59" i="1"/>
  <c r="E69" i="1"/>
  <c r="B41" i="1"/>
  <c r="E9" i="1"/>
  <c r="G9" i="1" s="1"/>
  <c r="E2" i="1"/>
  <c r="G2" i="1" s="1"/>
  <c r="E5" i="1"/>
  <c r="G5" i="1" s="1"/>
  <c r="F8" i="1"/>
  <c r="G8" i="1" s="1"/>
  <c r="E6" i="1"/>
  <c r="G6" i="1" s="1"/>
  <c r="E4" i="1"/>
  <c r="G4" i="1" s="1"/>
  <c r="E43" i="1" s="1"/>
  <c r="E3" i="1"/>
  <c r="G3" i="1" s="1"/>
  <c r="F18" i="1" l="1"/>
  <c r="E42" i="1"/>
  <c r="E68" i="1" s="1"/>
  <c r="E71" i="1" s="1"/>
  <c r="E53" i="1"/>
  <c r="E55" i="1"/>
  <c r="B42" i="1"/>
  <c r="E41" i="1"/>
  <c r="G7" i="1"/>
  <c r="B37" i="1" s="1"/>
  <c r="B36" i="1"/>
  <c r="B31" i="1"/>
  <c r="B26" i="1"/>
  <c r="E18" i="1"/>
  <c r="D18" i="1"/>
  <c r="C18" i="1" s="1"/>
  <c r="E52" i="1" l="1"/>
  <c r="E54" i="1"/>
  <c r="E62" i="1"/>
  <c r="E60" i="1"/>
  <c r="E48" i="1"/>
  <c r="E50" i="1" s="1"/>
  <c r="B27" i="1"/>
  <c r="B28" i="1" s="1"/>
  <c r="B29" i="1" s="1"/>
  <c r="E27" i="1" s="1"/>
  <c r="B32" i="1"/>
  <c r="B33" i="1" s="1"/>
  <c r="B34" i="1" s="1"/>
  <c r="E28" i="1" s="1"/>
  <c r="B38" i="1"/>
  <c r="B39" i="1" s="1"/>
  <c r="E29" i="1" s="1"/>
  <c r="B43" i="1"/>
  <c r="B44" i="1" s="1"/>
  <c r="E30" i="1" s="1"/>
  <c r="D7" i="1"/>
  <c r="C7" i="1" s="1"/>
  <c r="E7" i="1"/>
  <c r="B7" i="1"/>
  <c r="F7" i="1"/>
  <c r="E57" i="1" l="1"/>
  <c r="F29" i="1"/>
  <c r="C27" i="2" s="1"/>
  <c r="B27" i="2"/>
  <c r="F28" i="1"/>
  <c r="C26" i="2" s="1"/>
  <c r="B26" i="2"/>
  <c r="F27" i="1"/>
  <c r="C25" i="2" s="1"/>
  <c r="B25" i="2"/>
  <c r="F30" i="1"/>
  <c r="C28" i="2" s="1"/>
  <c r="B28" i="2"/>
  <c r="E64" i="1"/>
  <c r="E66" i="1" l="1"/>
  <c r="E75" i="1" s="1"/>
  <c r="E76" i="1" s="1"/>
  <c r="E73" i="1" l="1"/>
  <c r="B46" i="1"/>
  <c r="B47" i="1" s="1"/>
  <c r="E31" i="1" s="1"/>
  <c r="F31" i="1" s="1"/>
  <c r="C29" i="2" s="1"/>
  <c r="B29" i="2" l="1"/>
</calcChain>
</file>

<file path=xl/comments1.xml><?xml version="1.0" encoding="utf-8"?>
<comments xmlns="http://schemas.openxmlformats.org/spreadsheetml/2006/main">
  <authors>
    <author>Omar David Moreno Arcila</author>
  </authors>
  <commentList>
    <comment ref="A6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IG: 3I0-&gt; Corriente Residual</t>
        </r>
      </text>
    </comment>
    <comment ref="A7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Tensión de polarización: Tensión de Secuencia Positiva</t>
        </r>
      </text>
    </comment>
    <comment ref="A8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I2: Corriente de Secuencia Negativa</t>
        </r>
      </text>
    </comment>
    <comment ref="A9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V2: Tensión de Secuencia Negativa</t>
        </r>
      </text>
    </comment>
    <comment ref="A10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Z1L: Impedancia de Secuencia Positiva de la línea</t>
        </r>
      </text>
    </comment>
    <comment ref="A11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Z0L:  Impedancia de Secuencia Cero (Homopolar) de la línea</t>
        </r>
      </text>
    </comment>
    <comment ref="A15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IG: 3I0-&gt; Corriente Residual</t>
        </r>
      </text>
    </comment>
    <comment ref="A16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Tensión de polarización: Tensión de Secuencia Positiva</t>
        </r>
      </text>
    </comment>
    <comment ref="A17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I2: Corriente de Secuencia Negativa</t>
        </r>
      </text>
    </comment>
    <comment ref="A18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V2: Tensión de Secuencia Negativa</t>
        </r>
      </text>
    </comment>
    <comment ref="A19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Z1L: Impedancia de Secuencia Positiva de la línea</t>
        </r>
      </text>
    </comment>
    <comment ref="A20" authorId="0">
      <text>
        <r>
          <rPr>
            <b/>
            <sz val="9"/>
            <color indexed="81"/>
            <rFont val="Tahoma"/>
            <family val="2"/>
          </rPr>
          <t>Omar David Moreno Arcila:</t>
        </r>
        <r>
          <rPr>
            <sz val="9"/>
            <color indexed="81"/>
            <rFont val="Tahoma"/>
            <family val="2"/>
          </rPr>
          <t xml:space="preserve">
Z0L:  Impedancia de Secuencia Cero (Homopolar) de la línea</t>
        </r>
      </text>
    </comment>
  </commentList>
</comments>
</file>

<file path=xl/sharedStrings.xml><?xml version="1.0" encoding="utf-8"?>
<sst xmlns="http://schemas.openxmlformats.org/spreadsheetml/2006/main" count="131" uniqueCount="70">
  <si>
    <t>K0</t>
  </si>
  <si>
    <t>Módulo</t>
  </si>
  <si>
    <t>Parte Real</t>
  </si>
  <si>
    <t>Parte Imaginaria</t>
  </si>
  <si>
    <t>Complejo (Forma Binómica)</t>
  </si>
  <si>
    <t>Extremo K1</t>
  </si>
  <si>
    <t>Ángulo (Grados)</t>
  </si>
  <si>
    <t>Ángulo (Radianes)</t>
  </si>
  <si>
    <t>Numerador</t>
  </si>
  <si>
    <t>Denominador</t>
  </si>
  <si>
    <t>mBG</t>
  </si>
  <si>
    <t>Metodo 1</t>
  </si>
  <si>
    <t>Metodo 2</t>
  </si>
  <si>
    <t>Z1L (ohm)</t>
  </si>
  <si>
    <t>Z0L (ohm)</t>
  </si>
  <si>
    <t>I2 (A)</t>
  </si>
  <si>
    <t>Metodo 4</t>
  </si>
  <si>
    <t>Extremo K2</t>
  </si>
  <si>
    <t>V2 (V)</t>
  </si>
  <si>
    <t>Metodo 3</t>
  </si>
  <si>
    <t>Metodo 5</t>
  </si>
  <si>
    <t>d</t>
  </si>
  <si>
    <t>Longitud de la línea (km)</t>
  </si>
  <si>
    <t>(%mBG)</t>
  </si>
  <si>
    <t>Metodo</t>
  </si>
  <si>
    <t>Vfasefallada (V)</t>
  </si>
  <si>
    <t>Z2R</t>
  </si>
  <si>
    <t>a + jb</t>
  </si>
  <si>
    <t>[V]</t>
  </si>
  <si>
    <t>c + jd</t>
  </si>
  <si>
    <t>e + jf</t>
  </si>
  <si>
    <t>[ohm]</t>
  </si>
  <si>
    <t>g + jh</t>
  </si>
  <si>
    <t>|I2R|2</t>
  </si>
  <si>
    <t>[A2]</t>
  </si>
  <si>
    <t>g2+h2</t>
  </si>
  <si>
    <t>[ohm2]</t>
  </si>
  <si>
    <t>c2+d2</t>
  </si>
  <si>
    <t>[V2]</t>
  </si>
  <si>
    <t>A</t>
  </si>
  <si>
    <t>e</t>
  </si>
  <si>
    <t>g</t>
  </si>
  <si>
    <t>f</t>
  </si>
  <si>
    <t>h</t>
  </si>
  <si>
    <t>eg+fh</t>
  </si>
  <si>
    <t>a</t>
  </si>
  <si>
    <t>c</t>
  </si>
  <si>
    <t>b</t>
  </si>
  <si>
    <t>ac+bd</t>
  </si>
  <si>
    <t>B</t>
  </si>
  <si>
    <t>e2+f2</t>
  </si>
  <si>
    <t>a2+b2</t>
  </si>
  <si>
    <t>C</t>
  </si>
  <si>
    <t>m1</t>
  </si>
  <si>
    <t>mayor a la longitud de la línea</t>
  </si>
  <si>
    <t>m2</t>
  </si>
  <si>
    <t>0&lt;m&lt;1</t>
  </si>
  <si>
    <t>Ifasefallada (A)</t>
  </si>
  <si>
    <t>Magnitud</t>
  </si>
  <si>
    <t>Vpol (V)</t>
  </si>
  <si>
    <t>Localización de fallas</t>
  </si>
  <si>
    <t>3I0 (A)</t>
  </si>
  <si>
    <t>Línea Corta (Menor a 80 km)</t>
  </si>
  <si>
    <t>Localización de la falla</t>
  </si>
  <si>
    <t xml:space="preserve">Falla </t>
  </si>
  <si>
    <t>Rfalla (Ω)</t>
  </si>
  <si>
    <t>AT</t>
  </si>
  <si>
    <t>Valor Calculado [km]</t>
  </si>
  <si>
    <t>Valor Esperado [km]</t>
  </si>
  <si>
    <t>Error [%]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</si>
</sst>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0.0"/>
    <numFmt numFmtId="166" formatCode="0.000"/>
    <numFmt numFmtId="167" formatCode="0.0%"/>
  </numFmts>
  <fonts count="2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MS Sans Serif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1"/>
      <color indexed="56"/>
      <name val="Calibri"/>
      <family val="2"/>
    </font>
    <font>
      <b/>
      <sz val="14"/>
      <color theme="0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</fonts>
  <fills count="2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0">
    <xf numFmtId="0" fontId="0" fillId="0" borderId="0"/>
    <xf numFmtId="0" fontId="7" fillId="0" borderId="0"/>
    <xf numFmtId="0" fontId="4" fillId="0" borderId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1" fillId="6" borderId="0" applyNumberFormat="0" applyBorder="0" applyAlignment="0" applyProtection="0"/>
    <xf numFmtId="0" fontId="12" fillId="18" borderId="7" applyNumberFormat="0" applyAlignment="0" applyProtection="0"/>
    <xf numFmtId="0" fontId="13" fillId="0" borderId="8" applyNumberFormat="0" applyFill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22" borderId="0" applyNumberFormat="0" applyBorder="0" applyAlignment="0" applyProtection="0"/>
    <xf numFmtId="0" fontId="14" fillId="5" borderId="0" applyNumberFormat="0" applyBorder="0" applyAlignment="0" applyProtection="0"/>
    <xf numFmtId="0" fontId="15" fillId="23" borderId="0" applyNumberFormat="0" applyBorder="0" applyAlignment="0" applyProtection="0"/>
    <xf numFmtId="0" fontId="8" fillId="24" borderId="9" applyNumberFormat="0" applyFont="0" applyAlignment="0" applyProtection="0"/>
    <xf numFmtId="0" fontId="16" fillId="25" borderId="10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7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7" xfId="0" applyBorder="1"/>
    <xf numFmtId="0" fontId="0" fillId="0" borderId="1" xfId="0" applyNumberFormat="1" applyBorder="1" applyAlignment="1">
      <alignment horizontal="center" vertical="center"/>
    </xf>
    <xf numFmtId="10" fontId="0" fillId="0" borderId="16" xfId="0" applyNumberFormat="1" applyBorder="1"/>
    <xf numFmtId="0" fontId="0" fillId="0" borderId="15" xfId="0" applyBorder="1"/>
    <xf numFmtId="0" fontId="1" fillId="2" borderId="14" xfId="0" applyFont="1" applyFill="1" applyBorder="1"/>
    <xf numFmtId="11" fontId="0" fillId="0" borderId="0" xfId="0" applyNumberFormat="1" applyBorder="1"/>
    <xf numFmtId="0" fontId="0" fillId="0" borderId="0" xfId="0" applyBorder="1" applyAlignment="1">
      <alignment wrapText="1"/>
    </xf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2" xfId="0" applyBorder="1" applyAlignment="1">
      <alignment vertical="center" wrapText="1"/>
    </xf>
    <xf numFmtId="0" fontId="6" fillId="26" borderId="1" xfId="0" applyFont="1" applyFill="1" applyBorder="1" applyAlignment="1">
      <alignment horizontal="center" vertical="center"/>
    </xf>
    <xf numFmtId="0" fontId="21" fillId="0" borderId="0" xfId="0" applyFont="1"/>
    <xf numFmtId="0" fontId="20" fillId="2" borderId="4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65" fontId="21" fillId="3" borderId="1" xfId="0" applyNumberFormat="1" applyFont="1" applyFill="1" applyBorder="1" applyAlignment="1">
      <alignment horizontal="right" vertical="center" indent="12"/>
    </xf>
    <xf numFmtId="165" fontId="21" fillId="3" borderId="1" xfId="0" applyNumberFormat="1" applyFont="1" applyFill="1" applyBorder="1" applyAlignment="1">
      <alignment horizontal="right" vertical="center" indent="14"/>
    </xf>
    <xf numFmtId="2" fontId="22" fillId="0" borderId="1" xfId="0" applyNumberFormat="1" applyFont="1" applyBorder="1" applyAlignment="1">
      <alignment horizontal="right" vertical="center" indent="13"/>
    </xf>
    <xf numFmtId="0" fontId="20" fillId="2" borderId="3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20" fillId="2" borderId="23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/>
    </xf>
    <xf numFmtId="0" fontId="20" fillId="2" borderId="16" xfId="0" applyFont="1" applyFill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2" fillId="3" borderId="5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6" fontId="24" fillId="0" borderId="3" xfId="39" applyNumberFormat="1" applyFont="1" applyBorder="1" applyAlignment="1">
      <alignment horizontal="center" vertical="center"/>
    </xf>
    <xf numFmtId="166" fontId="24" fillId="0" borderId="24" xfId="39" applyNumberFormat="1" applyFont="1" applyBorder="1" applyAlignment="1">
      <alignment horizontal="center" vertical="center"/>
    </xf>
    <xf numFmtId="166" fontId="24" fillId="0" borderId="4" xfId="39" applyNumberFormat="1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  <xf numFmtId="166" fontId="24" fillId="0" borderId="1" xfId="39" applyNumberFormat="1" applyFont="1" applyBorder="1" applyAlignment="1">
      <alignment horizontal="center" vertical="center"/>
    </xf>
    <xf numFmtId="167" fontId="24" fillId="0" borderId="1" xfId="39" applyNumberFormat="1" applyFont="1" applyBorder="1" applyAlignment="1">
      <alignment horizontal="center" vertical="center"/>
    </xf>
    <xf numFmtId="166" fontId="24" fillId="0" borderId="1" xfId="0" applyNumberFormat="1" applyFont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/>
    </xf>
    <xf numFmtId="0" fontId="23" fillId="2" borderId="2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/>
    </xf>
    <xf numFmtId="9" fontId="23" fillId="2" borderId="5" xfId="39" applyFont="1" applyFill="1" applyBorder="1" applyAlignment="1">
      <alignment horizontal="center" vertical="center"/>
    </xf>
    <xf numFmtId="9" fontId="23" fillId="2" borderId="6" xfId="39" applyFont="1" applyFill="1" applyBorder="1" applyAlignment="1">
      <alignment horizontal="center" vertical="center"/>
    </xf>
    <xf numFmtId="9" fontId="23" fillId="2" borderId="2" xfId="39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9" fontId="23" fillId="2" borderId="1" xfId="39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3" fillId="2" borderId="24" xfId="0" applyFont="1" applyFill="1" applyBorder="1" applyAlignment="1">
      <alignment horizontal="center" vertical="center"/>
    </xf>
    <xf numFmtId="9" fontId="23" fillId="2" borderId="1" xfId="39" applyFont="1" applyFill="1" applyBorder="1" applyAlignment="1">
      <alignment horizontal="center" vertical="center" wrapText="1"/>
    </xf>
  </cellXfs>
  <cellStyles count="40">
    <cellStyle name="20% - Ênfase1" xfId="6"/>
    <cellStyle name="20% - Ênfase2" xfId="7"/>
    <cellStyle name="20% - Ênfase3" xfId="8"/>
    <cellStyle name="20% - Ênfase4" xfId="9"/>
    <cellStyle name="20% - Ênfase5" xfId="10"/>
    <cellStyle name="20% - Ênfase6" xfId="11"/>
    <cellStyle name="40% - Ênfase1" xfId="12"/>
    <cellStyle name="40% - Ênfase2" xfId="13"/>
    <cellStyle name="40% - Ênfase3" xfId="14"/>
    <cellStyle name="40% - Ênfase4" xfId="15"/>
    <cellStyle name="40% - Ênfase5" xfId="16"/>
    <cellStyle name="40% - Ênfase6" xfId="17"/>
    <cellStyle name="60% - Ênfase1" xfId="18"/>
    <cellStyle name="60% - Ênfase2" xfId="19"/>
    <cellStyle name="60% - Ênfase3" xfId="20"/>
    <cellStyle name="60% - Ênfase4" xfId="21"/>
    <cellStyle name="60% - Ênfase5" xfId="22"/>
    <cellStyle name="60% - Ênfase6" xfId="23"/>
    <cellStyle name="Bom" xfId="24"/>
    <cellStyle name="Célula de Verificação" xfId="25"/>
    <cellStyle name="Célula Vinculada" xfId="26"/>
    <cellStyle name="Ênfase1" xfId="27"/>
    <cellStyle name="Ênfase2" xfId="28"/>
    <cellStyle name="Ênfase3" xfId="29"/>
    <cellStyle name="Ênfase4" xfId="30"/>
    <cellStyle name="Ênfase5" xfId="31"/>
    <cellStyle name="Ênfase6" xfId="32"/>
    <cellStyle name="Incorreto" xfId="33"/>
    <cellStyle name="Neutra" xfId="34"/>
    <cellStyle name="Normal" xfId="0" builtinId="0"/>
    <cellStyle name="Normal 2" xfId="2"/>
    <cellStyle name="Normal 3" xfId="5"/>
    <cellStyle name="Normal 4" xfId="1"/>
    <cellStyle name="Nota" xfId="35"/>
    <cellStyle name="Porcentaje" xfId="39" builtinId="5"/>
    <cellStyle name="Porcentaje 2" xfId="4"/>
    <cellStyle name="Porcentual 2" xfId="3"/>
    <cellStyle name="Saída" xfId="36"/>
    <cellStyle name="Texto de Aviso" xfId="37"/>
    <cellStyle name="Título 4" xfId="3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9"/>
  <sheetViews>
    <sheetView tabSelected="1" zoomScale="70" zoomScaleNormal="70" workbookViewId="0">
      <selection activeCell="F42" sqref="F42"/>
    </sheetView>
  </sheetViews>
  <sheetFormatPr baseColWidth="10" defaultRowHeight="15.75" x14ac:dyDescent="0.25"/>
  <cols>
    <col min="1" max="1" width="18.28515625" style="23" bestFit="1" customWidth="1"/>
    <col min="2" max="3" width="38" style="23" bestFit="1" customWidth="1"/>
    <col min="4" max="4" width="11.42578125" style="23"/>
    <col min="5" max="5" width="7.42578125" bestFit="1" customWidth="1"/>
    <col min="6" max="6" width="10" bestFit="1" customWidth="1"/>
    <col min="7" max="7" width="11.42578125" bestFit="1" customWidth="1"/>
    <col min="8" max="8" width="18.5703125" customWidth="1"/>
    <col min="9" max="9" width="18.5703125" style="23" customWidth="1"/>
    <col min="10" max="10" width="9.28515625" style="23" bestFit="1" customWidth="1"/>
    <col min="11" max="12" width="18.5703125" style="23" customWidth="1"/>
    <col min="13" max="13" width="9.28515625" style="23" bestFit="1" customWidth="1"/>
    <col min="14" max="15" width="18.5703125" style="23" customWidth="1"/>
    <col min="16" max="16" width="9.28515625" style="23" bestFit="1" customWidth="1"/>
    <col min="17" max="16384" width="11.42578125" style="23"/>
  </cols>
  <sheetData>
    <row r="1" spans="1:16" ht="15" x14ac:dyDescent="0.2">
      <c r="A1" s="32" t="s">
        <v>60</v>
      </c>
      <c r="B1" s="33"/>
      <c r="C1" s="34"/>
      <c r="E1" s="62" t="s">
        <v>62</v>
      </c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thickBot="1" x14ac:dyDescent="0.25">
      <c r="A2" s="35"/>
      <c r="B2" s="36"/>
      <c r="C2" s="37"/>
      <c r="E2" s="63"/>
      <c r="F2" s="67"/>
      <c r="G2" s="67"/>
      <c r="H2" s="68" t="s">
        <v>63</v>
      </c>
      <c r="I2" s="68"/>
      <c r="J2" s="68"/>
      <c r="K2" s="68"/>
      <c r="L2" s="68"/>
      <c r="M2" s="68"/>
      <c r="N2" s="68"/>
      <c r="O2" s="68"/>
      <c r="P2" s="69"/>
    </row>
    <row r="3" spans="1:16" x14ac:dyDescent="0.2">
      <c r="A3" s="24" t="s">
        <v>5</v>
      </c>
      <c r="B3" s="24" t="s">
        <v>58</v>
      </c>
      <c r="C3" s="24" t="s">
        <v>6</v>
      </c>
      <c r="E3" s="70" t="s">
        <v>64</v>
      </c>
      <c r="F3" s="70" t="s">
        <v>24</v>
      </c>
      <c r="G3" s="70" t="s">
        <v>65</v>
      </c>
      <c r="H3" s="71">
        <v>0.01</v>
      </c>
      <c r="I3" s="72"/>
      <c r="J3" s="73"/>
      <c r="K3" s="71">
        <v>0.5</v>
      </c>
      <c r="L3" s="72"/>
      <c r="M3" s="73"/>
      <c r="N3" s="71">
        <v>0.99</v>
      </c>
      <c r="O3" s="72"/>
      <c r="P3" s="73"/>
    </row>
    <row r="4" spans="1:16" ht="28.5" customHeight="1" x14ac:dyDescent="0.2">
      <c r="A4" s="25" t="s">
        <v>25</v>
      </c>
      <c r="B4" s="27">
        <v>145880</v>
      </c>
      <c r="C4" s="28">
        <v>-171.4</v>
      </c>
      <c r="E4" s="74"/>
      <c r="F4" s="74"/>
      <c r="G4" s="74"/>
      <c r="H4" s="78" t="s">
        <v>67</v>
      </c>
      <c r="I4" s="78" t="s">
        <v>68</v>
      </c>
      <c r="J4" s="75" t="s">
        <v>69</v>
      </c>
      <c r="K4" s="78" t="s">
        <v>67</v>
      </c>
      <c r="L4" s="78" t="s">
        <v>68</v>
      </c>
      <c r="M4" s="75" t="s">
        <v>69</v>
      </c>
      <c r="N4" s="78" t="s">
        <v>67</v>
      </c>
      <c r="O4" s="78" t="s">
        <v>68</v>
      </c>
      <c r="P4" s="75" t="s">
        <v>69</v>
      </c>
    </row>
    <row r="5" spans="1:16" x14ac:dyDescent="0.2">
      <c r="A5" s="25" t="s">
        <v>57</v>
      </c>
      <c r="B5" s="27">
        <v>1186.5999999999999</v>
      </c>
      <c r="C5" s="28">
        <v>107.8</v>
      </c>
      <c r="E5" s="70" t="s">
        <v>66</v>
      </c>
      <c r="F5" s="62">
        <v>1</v>
      </c>
      <c r="G5" s="76">
        <v>0.1</v>
      </c>
      <c r="H5" s="64">
        <v>-0.31</v>
      </c>
      <c r="I5" s="59">
        <v>5.4600000000000003E-2</v>
      </c>
      <c r="J5" s="65">
        <v>6.677655677655677</v>
      </c>
      <c r="K5" s="64">
        <v>2.75</v>
      </c>
      <c r="L5" s="59">
        <v>2.73</v>
      </c>
      <c r="M5" s="65">
        <v>7.3260073260073329E-3</v>
      </c>
      <c r="N5" s="64">
        <v>3.25</v>
      </c>
      <c r="O5" s="59">
        <v>5.4054000000000002</v>
      </c>
      <c r="P5" s="65">
        <v>0.3987493987493988</v>
      </c>
    </row>
    <row r="6" spans="1:16" x14ac:dyDescent="0.2">
      <c r="A6" s="25" t="s">
        <v>61</v>
      </c>
      <c r="B6" s="27">
        <v>1097.7</v>
      </c>
      <c r="C6" s="28">
        <v>-66.099999999999994</v>
      </c>
      <c r="E6" s="77"/>
      <c r="F6" s="62"/>
      <c r="G6" s="76">
        <v>5</v>
      </c>
      <c r="H6" s="64">
        <v>-20.78</v>
      </c>
      <c r="I6" s="60"/>
      <c r="J6" s="65">
        <v>381.58608058608058</v>
      </c>
      <c r="K6" s="64">
        <v>-16.13</v>
      </c>
      <c r="L6" s="60"/>
      <c r="M6" s="65">
        <v>6.9084249084249079</v>
      </c>
      <c r="N6" s="64">
        <v>-12.08</v>
      </c>
      <c r="O6" s="60"/>
      <c r="P6" s="65">
        <v>3.2348022348022343</v>
      </c>
    </row>
    <row r="7" spans="1:16" x14ac:dyDescent="0.2">
      <c r="A7" s="25" t="s">
        <v>59</v>
      </c>
      <c r="B7" s="27">
        <v>230440</v>
      </c>
      <c r="C7" s="28">
        <v>-48.4</v>
      </c>
      <c r="E7" s="77"/>
      <c r="F7" s="62"/>
      <c r="G7" s="76">
        <v>30</v>
      </c>
      <c r="H7" s="66">
        <v>-36.93</v>
      </c>
      <c r="I7" s="60"/>
      <c r="J7" s="65">
        <v>677.37362637362639</v>
      </c>
      <c r="K7" s="66">
        <v>-35.25</v>
      </c>
      <c r="L7" s="60"/>
      <c r="M7" s="65">
        <v>13.912087912087911</v>
      </c>
      <c r="N7" s="66">
        <v>-33.64</v>
      </c>
      <c r="O7" s="60"/>
      <c r="P7" s="65">
        <v>7.2234062234062231</v>
      </c>
    </row>
    <row r="8" spans="1:16" x14ac:dyDescent="0.2">
      <c r="A8" s="25" t="s">
        <v>15</v>
      </c>
      <c r="B8" s="27">
        <v>469.23</v>
      </c>
      <c r="C8" s="28">
        <v>-4.4000000000000004</v>
      </c>
      <c r="E8" s="77"/>
      <c r="F8" s="62">
        <v>2</v>
      </c>
      <c r="G8" s="76">
        <v>0.1</v>
      </c>
      <c r="H8" s="64">
        <v>-0.23</v>
      </c>
      <c r="I8" s="60"/>
      <c r="J8" s="65">
        <v>5.2124542124542126</v>
      </c>
      <c r="K8" s="64">
        <v>2.8</v>
      </c>
      <c r="L8" s="60"/>
      <c r="M8" s="65">
        <v>2.5641025641025581E-2</v>
      </c>
      <c r="N8" s="64">
        <v>3.61</v>
      </c>
      <c r="O8" s="60"/>
      <c r="P8" s="65">
        <v>0.33214933214933218</v>
      </c>
    </row>
    <row r="9" spans="1:16" x14ac:dyDescent="0.2">
      <c r="A9" s="25" t="s">
        <v>18</v>
      </c>
      <c r="B9" s="27">
        <v>47587</v>
      </c>
      <c r="C9" s="28">
        <v>-105.1</v>
      </c>
      <c r="E9" s="77"/>
      <c r="F9" s="62"/>
      <c r="G9" s="76">
        <v>5</v>
      </c>
      <c r="H9" s="64">
        <v>-8.3699999999999992</v>
      </c>
      <c r="I9" s="60"/>
      <c r="J9" s="65">
        <v>154.2967032967033</v>
      </c>
      <c r="K9" s="64">
        <v>-4.43</v>
      </c>
      <c r="L9" s="60"/>
      <c r="M9" s="65">
        <v>2.6227106227106227</v>
      </c>
      <c r="N9" s="64">
        <v>-1.83</v>
      </c>
      <c r="O9" s="60"/>
      <c r="P9" s="65">
        <v>1.3385503385503386</v>
      </c>
    </row>
    <row r="10" spans="1:16" x14ac:dyDescent="0.2">
      <c r="A10" s="25" t="s">
        <v>13</v>
      </c>
      <c r="B10" s="27">
        <v>62.048250000000003</v>
      </c>
      <c r="C10" s="28">
        <v>82.715209999999999</v>
      </c>
      <c r="E10" s="77"/>
      <c r="F10" s="62"/>
      <c r="G10" s="76">
        <v>30</v>
      </c>
      <c r="H10" s="66">
        <v>41.58</v>
      </c>
      <c r="I10" s="60"/>
      <c r="J10" s="65">
        <v>760.53846153846143</v>
      </c>
      <c r="K10" s="66">
        <v>44.34</v>
      </c>
      <c r="L10" s="60"/>
      <c r="M10" s="65">
        <v>15.241758241758244</v>
      </c>
      <c r="N10" s="66">
        <v>46.29</v>
      </c>
      <c r="O10" s="60"/>
      <c r="P10" s="65">
        <v>7.5636585636585636</v>
      </c>
    </row>
    <row r="11" spans="1:16" x14ac:dyDescent="0.2">
      <c r="A11" s="25" t="s">
        <v>14</v>
      </c>
      <c r="B11" s="27">
        <v>175.2361526</v>
      </c>
      <c r="C11" s="28">
        <v>77.004562719999996</v>
      </c>
      <c r="E11" s="77"/>
      <c r="F11" s="62">
        <v>3</v>
      </c>
      <c r="G11" s="76">
        <v>0.1</v>
      </c>
      <c r="H11" s="64">
        <v>-0.18</v>
      </c>
      <c r="I11" s="60"/>
      <c r="J11" s="65">
        <v>4.2967032967032965</v>
      </c>
      <c r="K11" s="64">
        <v>2.83</v>
      </c>
      <c r="L11" s="60"/>
      <c r="M11" s="65">
        <v>3.6630036630036659E-2</v>
      </c>
      <c r="N11" s="64">
        <v>3.85</v>
      </c>
      <c r="O11" s="60"/>
      <c r="P11" s="65">
        <v>0.28774928774928776</v>
      </c>
    </row>
    <row r="12" spans="1:16" x14ac:dyDescent="0.2">
      <c r="A12" s="25" t="s">
        <v>17</v>
      </c>
      <c r="B12" s="25" t="s">
        <v>58</v>
      </c>
      <c r="C12" s="25" t="s">
        <v>6</v>
      </c>
      <c r="E12" s="77"/>
      <c r="F12" s="62"/>
      <c r="G12" s="76">
        <v>5</v>
      </c>
      <c r="H12" s="64">
        <v>-6.93</v>
      </c>
      <c r="I12" s="60"/>
      <c r="J12" s="65">
        <v>127.92307692307691</v>
      </c>
      <c r="K12" s="64">
        <v>-3.05</v>
      </c>
      <c r="L12" s="60"/>
      <c r="M12" s="65">
        <v>2.1172161172161168</v>
      </c>
      <c r="N12" s="64">
        <v>-0.39</v>
      </c>
      <c r="O12" s="60"/>
      <c r="P12" s="65">
        <v>1.0721500721500721</v>
      </c>
    </row>
    <row r="13" spans="1:16" x14ac:dyDescent="0.2">
      <c r="A13" s="25" t="s">
        <v>25</v>
      </c>
      <c r="B13" s="27">
        <v>44699</v>
      </c>
      <c r="C13" s="28">
        <v>169.7</v>
      </c>
      <c r="E13" s="77"/>
      <c r="F13" s="62"/>
      <c r="G13" s="76">
        <v>30</v>
      </c>
      <c r="H13" s="66">
        <v>47.36</v>
      </c>
      <c r="I13" s="60"/>
      <c r="J13" s="65">
        <v>866.39926739926739</v>
      </c>
      <c r="K13" s="66">
        <v>50.52</v>
      </c>
      <c r="L13" s="60"/>
      <c r="M13" s="65">
        <v>17.505494505494507</v>
      </c>
      <c r="N13" s="66">
        <v>52.4</v>
      </c>
      <c r="O13" s="60"/>
      <c r="P13" s="65">
        <v>8.6940096940096936</v>
      </c>
    </row>
    <row r="14" spans="1:16" x14ac:dyDescent="0.2">
      <c r="A14" s="25" t="s">
        <v>57</v>
      </c>
      <c r="B14" s="27">
        <v>907.9</v>
      </c>
      <c r="C14" s="28">
        <v>79.400000000000006</v>
      </c>
      <c r="E14" s="77"/>
      <c r="F14" s="62">
        <v>4</v>
      </c>
      <c r="G14" s="76">
        <v>0.1</v>
      </c>
      <c r="H14" s="64">
        <v>0.15</v>
      </c>
      <c r="I14" s="60"/>
      <c r="J14" s="65">
        <v>1.7472527472527468</v>
      </c>
      <c r="K14" s="64">
        <v>2.72</v>
      </c>
      <c r="L14" s="60"/>
      <c r="M14" s="65">
        <v>3.6630036630035849E-3</v>
      </c>
      <c r="N14" s="64">
        <v>5.46</v>
      </c>
      <c r="O14" s="60"/>
      <c r="P14" s="65">
        <v>1.0101010101010057E-2</v>
      </c>
    </row>
    <row r="15" spans="1:16" x14ac:dyDescent="0.2">
      <c r="A15" s="25" t="s">
        <v>61</v>
      </c>
      <c r="B15" s="27">
        <v>1106.0999999999999</v>
      </c>
      <c r="C15" s="28">
        <v>-104.1</v>
      </c>
      <c r="E15" s="77"/>
      <c r="F15" s="62"/>
      <c r="G15" s="76">
        <v>5</v>
      </c>
      <c r="H15" s="64">
        <v>0.13</v>
      </c>
      <c r="I15" s="60"/>
      <c r="J15" s="65">
        <v>1.3809523809523807</v>
      </c>
      <c r="K15" s="64">
        <v>2.7</v>
      </c>
      <c r="L15" s="60"/>
      <c r="M15" s="65">
        <v>1.0989010989010917E-2</v>
      </c>
      <c r="N15" s="64">
        <v>5.6</v>
      </c>
      <c r="O15" s="60"/>
      <c r="P15" s="65">
        <v>3.6001036001035894E-2</v>
      </c>
    </row>
    <row r="16" spans="1:16" x14ac:dyDescent="0.2">
      <c r="A16" s="25" t="s">
        <v>59</v>
      </c>
      <c r="B16" s="27">
        <v>211890</v>
      </c>
      <c r="C16" s="28">
        <v>-65.3</v>
      </c>
      <c r="E16" s="77"/>
      <c r="F16" s="62"/>
      <c r="G16" s="76">
        <v>30</v>
      </c>
      <c r="H16" s="66">
        <v>0.17</v>
      </c>
      <c r="I16" s="60"/>
      <c r="J16" s="65">
        <v>2.1135531135531136</v>
      </c>
      <c r="K16" s="66">
        <v>2.72</v>
      </c>
      <c r="L16" s="60"/>
      <c r="M16" s="65">
        <v>3.6630036630035849E-3</v>
      </c>
      <c r="N16" s="66">
        <v>5.42</v>
      </c>
      <c r="O16" s="60"/>
      <c r="P16" s="65">
        <v>2.7010027010026497E-3</v>
      </c>
    </row>
    <row r="17" spans="1:16" x14ac:dyDescent="0.2">
      <c r="A17" s="25" t="s">
        <v>15</v>
      </c>
      <c r="B17" s="27">
        <v>273.27999999999997</v>
      </c>
      <c r="C17" s="28">
        <v>-56.5</v>
      </c>
      <c r="E17" s="77"/>
      <c r="F17" s="62">
        <v>5</v>
      </c>
      <c r="G17" s="76">
        <v>0.1</v>
      </c>
      <c r="H17" s="64">
        <v>0.14000000000000001</v>
      </c>
      <c r="I17" s="60"/>
      <c r="J17" s="65">
        <v>1.5641025641025641</v>
      </c>
      <c r="K17" s="64">
        <v>2.72</v>
      </c>
      <c r="L17" s="60"/>
      <c r="M17" s="65">
        <v>3.6630036630035849E-3</v>
      </c>
      <c r="N17" s="64">
        <v>5.53</v>
      </c>
      <c r="O17" s="60"/>
      <c r="P17" s="65">
        <v>2.3051023051023058E-2</v>
      </c>
    </row>
    <row r="18" spans="1:16" x14ac:dyDescent="0.2">
      <c r="A18" s="25" t="s">
        <v>18</v>
      </c>
      <c r="B18" s="27">
        <v>72065</v>
      </c>
      <c r="C18" s="28">
        <v>-123</v>
      </c>
      <c r="E18" s="77"/>
      <c r="F18" s="62"/>
      <c r="G18" s="76">
        <v>5</v>
      </c>
      <c r="H18" s="64">
        <v>0.13</v>
      </c>
      <c r="I18" s="60"/>
      <c r="J18" s="65">
        <v>1.3809523809523807</v>
      </c>
      <c r="K18" s="64">
        <v>2.7</v>
      </c>
      <c r="L18" s="60"/>
      <c r="M18" s="65">
        <v>1.0989010989010917E-2</v>
      </c>
      <c r="N18" s="64">
        <v>5.6</v>
      </c>
      <c r="O18" s="60"/>
      <c r="P18" s="65">
        <v>3.6001036001035894E-2</v>
      </c>
    </row>
    <row r="19" spans="1:16" x14ac:dyDescent="0.2">
      <c r="A19" s="25" t="s">
        <v>13</v>
      </c>
      <c r="B19" s="27">
        <f>+B10</f>
        <v>62.048250000000003</v>
      </c>
      <c r="C19" s="28">
        <f>+C10</f>
        <v>82.715209999999999</v>
      </c>
      <c r="E19" s="74"/>
      <c r="F19" s="62"/>
      <c r="G19" s="76">
        <v>30</v>
      </c>
      <c r="H19" s="66">
        <v>0.17</v>
      </c>
      <c r="I19" s="61"/>
      <c r="J19" s="65">
        <v>2.1135531135531136</v>
      </c>
      <c r="K19" s="66">
        <v>2.72</v>
      </c>
      <c r="L19" s="61"/>
      <c r="M19" s="65">
        <v>3.6630036630035849E-3</v>
      </c>
      <c r="N19" s="66">
        <v>5.42</v>
      </c>
      <c r="O19" s="61"/>
      <c r="P19" s="65">
        <v>2.7010027010026497E-3</v>
      </c>
    </row>
    <row r="20" spans="1:16" x14ac:dyDescent="0.25">
      <c r="A20" s="25" t="s">
        <v>14</v>
      </c>
      <c r="B20" s="27">
        <f>+B11</f>
        <v>175.2361526</v>
      </c>
      <c r="C20" s="28">
        <f>+C11</f>
        <v>77.004562719999996</v>
      </c>
    </row>
    <row r="21" spans="1:16" x14ac:dyDescent="0.25">
      <c r="A21" s="38" t="s">
        <v>22</v>
      </c>
      <c r="B21" s="39"/>
      <c r="C21" s="40"/>
    </row>
    <row r="22" spans="1:16" x14ac:dyDescent="0.25">
      <c r="A22" s="41">
        <v>111.6</v>
      </c>
      <c r="B22" s="42"/>
      <c r="C22" s="43"/>
    </row>
    <row r="23" spans="1:16" x14ac:dyDescent="0.25">
      <c r="A23" s="30" t="s">
        <v>24</v>
      </c>
      <c r="B23" s="30" t="str">
        <f>+Metodo!E25</f>
        <v>Distancia desde Extremo K1 (km)</v>
      </c>
      <c r="C23" s="30" t="str">
        <f>+Metodo!F25</f>
        <v>Distancia desde Extremo K2 (km)</v>
      </c>
    </row>
    <row r="24" spans="1:16" x14ac:dyDescent="0.25">
      <c r="A24" s="31"/>
      <c r="B24" s="31"/>
      <c r="C24" s="31"/>
    </row>
    <row r="25" spans="1:16" x14ac:dyDescent="0.25">
      <c r="A25" s="26" t="str">
        <f>+Metodo!$D27</f>
        <v>1</v>
      </c>
      <c r="B25" s="29">
        <f>+Metodo!$E27</f>
        <v>471.35121678206252</v>
      </c>
      <c r="C25" s="29">
        <f>+Metodo!$F27</f>
        <v>-359.75121678206256</v>
      </c>
    </row>
    <row r="26" spans="1:16" x14ac:dyDescent="0.25">
      <c r="A26" s="26" t="str">
        <f>+Metodo!$D28</f>
        <v>2</v>
      </c>
      <c r="B26" s="29">
        <f>+Metodo!$E28</f>
        <v>221.48184342979212</v>
      </c>
      <c r="C26" s="29">
        <f>+Metodo!$F28</f>
        <v>-109.88184342979213</v>
      </c>
    </row>
    <row r="27" spans="1:16" x14ac:dyDescent="0.25">
      <c r="A27" s="26" t="str">
        <f>+Metodo!$D29</f>
        <v>3</v>
      </c>
      <c r="B27" s="29">
        <f>+Metodo!$E29</f>
        <v>805.40192439565749</v>
      </c>
      <c r="C27" s="29">
        <f>+Metodo!$F29</f>
        <v>-693.80192439565747</v>
      </c>
    </row>
    <row r="28" spans="1:16" x14ac:dyDescent="0.25">
      <c r="A28" s="26" t="str">
        <f>+Metodo!$D30</f>
        <v>4</v>
      </c>
      <c r="B28" s="29">
        <f>+Metodo!$E30</f>
        <v>107.61045787165996</v>
      </c>
      <c r="C28" s="29">
        <f>+Metodo!$F30</f>
        <v>3.9895421283400339</v>
      </c>
    </row>
    <row r="29" spans="1:16" x14ac:dyDescent="0.25">
      <c r="A29" s="26" t="str">
        <f>+Metodo!$D31</f>
        <v>5</v>
      </c>
      <c r="B29" s="29">
        <f>+Metodo!$E31</f>
        <v>99.844468356524914</v>
      </c>
      <c r="C29" s="29">
        <f>+Metodo!$F31</f>
        <v>11.755531643475081</v>
      </c>
    </row>
  </sheetData>
  <mergeCells count="23">
    <mergeCell ref="H2:P2"/>
    <mergeCell ref="E1:P1"/>
    <mergeCell ref="F5:F7"/>
    <mergeCell ref="G3:G4"/>
    <mergeCell ref="F3:F4"/>
    <mergeCell ref="E3:E4"/>
    <mergeCell ref="O5:O19"/>
    <mergeCell ref="F17:F19"/>
    <mergeCell ref="E5:E19"/>
    <mergeCell ref="I5:I19"/>
    <mergeCell ref="L5:L19"/>
    <mergeCell ref="F8:F10"/>
    <mergeCell ref="F11:F13"/>
    <mergeCell ref="F14:F16"/>
    <mergeCell ref="H3:J3"/>
    <mergeCell ref="K3:M3"/>
    <mergeCell ref="N3:P3"/>
    <mergeCell ref="A23:A24"/>
    <mergeCell ref="B23:B24"/>
    <mergeCell ref="C23:C24"/>
    <mergeCell ref="A1:C2"/>
    <mergeCell ref="A21:C21"/>
    <mergeCell ref="A22:C22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6"/>
  <sheetViews>
    <sheetView zoomScale="70" zoomScaleNormal="70" workbookViewId="0">
      <selection activeCell="D2" sqref="D2"/>
    </sheetView>
  </sheetViews>
  <sheetFormatPr baseColWidth="10" defaultRowHeight="15" x14ac:dyDescent="0.25"/>
  <cols>
    <col min="1" max="1" width="15.140625" style="3" bestFit="1" customWidth="1"/>
    <col min="2" max="2" width="35.85546875" style="3" bestFit="1" customWidth="1"/>
    <col min="3" max="3" width="20.140625" style="3" bestFit="1" customWidth="1"/>
    <col min="4" max="4" width="23.5703125" bestFit="1" customWidth="1"/>
    <col min="5" max="6" width="31.42578125" bestFit="1" customWidth="1"/>
    <col min="7" max="7" width="42.42578125" bestFit="1" customWidth="1"/>
    <col min="8" max="16384" width="11.42578125" style="3"/>
  </cols>
  <sheetData>
    <row r="1" spans="1:9" x14ac:dyDescent="0.25">
      <c r="A1" s="1" t="s">
        <v>5</v>
      </c>
      <c r="B1" s="1" t="s">
        <v>1</v>
      </c>
      <c r="C1" s="1" t="s">
        <v>6</v>
      </c>
      <c r="D1" s="1" t="s">
        <v>7</v>
      </c>
      <c r="E1" s="1" t="s">
        <v>2</v>
      </c>
      <c r="F1" s="1" t="s">
        <v>3</v>
      </c>
      <c r="G1" s="1" t="s">
        <v>4</v>
      </c>
    </row>
    <row r="2" spans="1:9" x14ac:dyDescent="0.25">
      <c r="A2" s="1" t="str">
        <f>+Localización_de_falla!A4</f>
        <v>Vfasefallada (V)</v>
      </c>
      <c r="B2" s="22">
        <f>+Localización_de_falla!B4</f>
        <v>145880</v>
      </c>
      <c r="C2" s="22">
        <f>+Localización_de_falla!C4</f>
        <v>-171.4</v>
      </c>
      <c r="D2" s="2">
        <f>+C2*PI()/180</f>
        <v>-2.9914943379182812</v>
      </c>
      <c r="E2" s="2">
        <f>+B2*COS(D2)</f>
        <v>-144239.78086713722</v>
      </c>
      <c r="F2" s="2">
        <f>+B2*SIN(D2)</f>
        <v>-21814.215901568299</v>
      </c>
      <c r="G2" s="2" t="str">
        <f>+COMPLEX(E2,F2)</f>
        <v>-144239,780867137-21814,2159015682i</v>
      </c>
      <c r="I2" s="3">
        <v>0</v>
      </c>
    </row>
    <row r="3" spans="1:9" x14ac:dyDescent="0.25">
      <c r="A3" s="1" t="str">
        <f>+Localización_de_falla!A7</f>
        <v>Vpol (V)</v>
      </c>
      <c r="B3" s="22">
        <f>+Localización_de_falla!B7</f>
        <v>230440</v>
      </c>
      <c r="C3" s="22">
        <f>+Localización_de_falla!C7</f>
        <v>-48.4</v>
      </c>
      <c r="D3" s="2">
        <f t="shared" ref="D3:D9" si="0">+C3*PI()/180</f>
        <v>-0.84473935796525557</v>
      </c>
      <c r="E3" s="2">
        <f t="shared" ref="E3:E9" si="1">+B3*COS(D3)</f>
        <v>152995.15644358256</v>
      </c>
      <c r="F3" s="2">
        <f t="shared" ref="F3:F9" si="2">+B3*SIN(D3)</f>
        <v>-172322.59197448171</v>
      </c>
      <c r="G3" s="2" t="str">
        <f t="shared" ref="G3:G9" si="3">+COMPLEX(E3,F3)</f>
        <v>152995,156443583-172322,591974482i</v>
      </c>
    </row>
    <row r="4" spans="1:9" x14ac:dyDescent="0.25">
      <c r="A4" s="1" t="str">
        <f>+Localización_de_falla!A10</f>
        <v>Z1L (ohm)</v>
      </c>
      <c r="B4" s="22">
        <f>+Localización_de_falla!B10</f>
        <v>62.048250000000003</v>
      </c>
      <c r="C4" s="22">
        <f>+Localización_de_falla!C10</f>
        <v>82.715209999999999</v>
      </c>
      <c r="D4" s="2">
        <f t="shared" si="0"/>
        <v>1.443652755978539</v>
      </c>
      <c r="E4" s="2">
        <f t="shared" si="1"/>
        <v>7.8677982220606753</v>
      </c>
      <c r="F4" s="2">
        <f t="shared" si="2"/>
        <v>61.547405137823965</v>
      </c>
      <c r="G4" s="2" t="str">
        <f t="shared" si="3"/>
        <v>7,86779822206068+61,547405137824i</v>
      </c>
    </row>
    <row r="5" spans="1:9" x14ac:dyDescent="0.25">
      <c r="A5" s="1" t="str">
        <f>+Localización_de_falla!A11</f>
        <v>Z0L (ohm)</v>
      </c>
      <c r="B5" s="22">
        <f>+Localización_de_falla!B11</f>
        <v>175.2361526</v>
      </c>
      <c r="C5" s="22">
        <f>+Localización_de_falla!C11</f>
        <v>77.004562719999996</v>
      </c>
      <c r="D5" s="2">
        <f t="shared" si="0"/>
        <v>1.3439831585224802</v>
      </c>
      <c r="E5" s="2">
        <f t="shared" si="1"/>
        <v>39.40595998213805</v>
      </c>
      <c r="F5" s="2">
        <f t="shared" si="2"/>
        <v>170.74799997638806</v>
      </c>
      <c r="G5" s="2" t="str">
        <f t="shared" si="3"/>
        <v>39,4059599821381+170,747999976388i</v>
      </c>
    </row>
    <row r="6" spans="1:9" x14ac:dyDescent="0.25">
      <c r="A6" s="1" t="str">
        <f>+Localización_de_falla!A5</f>
        <v>Ifasefallada (A)</v>
      </c>
      <c r="B6" s="22">
        <f>+Localización_de_falla!B5</f>
        <v>1186.5999999999999</v>
      </c>
      <c r="C6" s="22">
        <f>+Localización_de_falla!C5</f>
        <v>107.8</v>
      </c>
      <c r="D6" s="2">
        <f t="shared" si="0"/>
        <v>1.8814649336498872</v>
      </c>
      <c r="E6" s="2">
        <f t="shared" si="1"/>
        <v>-362.73804886922107</v>
      </c>
      <c r="F6" s="2">
        <f t="shared" si="2"/>
        <v>1129.7967374278217</v>
      </c>
      <c r="G6" s="2" t="str">
        <f t="shared" si="3"/>
        <v>-362,738048869221+1129,79673742782i</v>
      </c>
    </row>
    <row r="7" spans="1:9" x14ac:dyDescent="0.25">
      <c r="A7" s="1" t="s">
        <v>0</v>
      </c>
      <c r="B7" s="22">
        <f>+IMABS(G7)</f>
        <v>0.61061969788169412</v>
      </c>
      <c r="C7" s="22">
        <f>+D7*180/PI()</f>
        <v>-8.8244262697458833</v>
      </c>
      <c r="D7" s="2">
        <f>+IMARGUMENT(G7)</f>
        <v>-0.15401529300654693</v>
      </c>
      <c r="E7" s="2">
        <f>+IMREAL(G7)</f>
        <v>0.60339183581171996</v>
      </c>
      <c r="F7" s="2">
        <f>+IMAGINARY(G7)</f>
        <v>-9.3673410938717006E-2</v>
      </c>
      <c r="G7" s="2" t="str">
        <f>+IMDIV(IMSUB(G5,G4),IMPRODUCT(3,G4))</f>
        <v>0,60339183581172-0,093673410938717i</v>
      </c>
    </row>
    <row r="8" spans="1:9" x14ac:dyDescent="0.25">
      <c r="A8" s="1" t="str">
        <f>+Localización_de_falla!A6</f>
        <v>3I0 (A)</v>
      </c>
      <c r="B8" s="22">
        <f>+Localización_de_falla!B6</f>
        <v>1097.7</v>
      </c>
      <c r="C8" s="22">
        <f>+Localización_de_falla!C6</f>
        <v>-66.099999999999994</v>
      </c>
      <c r="D8" s="2">
        <f t="shared" si="0"/>
        <v>-1.1536626355682518</v>
      </c>
      <c r="E8" s="2">
        <f t="shared" si="1"/>
        <v>444.72391980825523</v>
      </c>
      <c r="F8" s="2">
        <f t="shared" si="2"/>
        <v>-1003.5765666606512</v>
      </c>
      <c r="G8" s="2" t="str">
        <f t="shared" si="3"/>
        <v>444,723919808255-1003,57656666065i</v>
      </c>
    </row>
    <row r="9" spans="1:9" x14ac:dyDescent="0.25">
      <c r="A9" s="1" t="str">
        <f>+Localización_de_falla!A8</f>
        <v>I2 (A)</v>
      </c>
      <c r="B9" s="22">
        <f>+Localización_de_falla!B8</f>
        <v>469.23</v>
      </c>
      <c r="C9" s="22">
        <f>+Localización_de_falla!C8</f>
        <v>-4.4000000000000004</v>
      </c>
      <c r="D9" s="4">
        <f t="shared" si="0"/>
        <v>-7.679448708775051E-2</v>
      </c>
      <c r="E9" s="4">
        <f t="shared" si="1"/>
        <v>467.84706292743783</v>
      </c>
      <c r="F9" s="4">
        <f t="shared" si="2"/>
        <v>-35.998869567947118</v>
      </c>
      <c r="G9" s="4" t="str">
        <f t="shared" si="3"/>
        <v>467,847062927438-35,9988695679471i</v>
      </c>
    </row>
    <row r="10" spans="1:9" x14ac:dyDescent="0.25">
      <c r="A10" s="1" t="str">
        <f>+Localización_de_falla!A9</f>
        <v>V2 (V)</v>
      </c>
      <c r="B10" s="22">
        <f>+Localización_de_falla!B9</f>
        <v>47587</v>
      </c>
      <c r="C10" s="22">
        <f>+Localización_de_falla!C9</f>
        <v>-105.1</v>
      </c>
      <c r="D10" s="2">
        <f>+C10*PI()/180</f>
        <v>-1.8343410438460404</v>
      </c>
      <c r="E10" s="2">
        <f>+B10*COS(D10)</f>
        <v>-12396.628052777703</v>
      </c>
      <c r="F10" s="2">
        <f>+B10*SIN(D10)</f>
        <v>-45943.946085649681</v>
      </c>
      <c r="G10" s="2" t="str">
        <f>+COMPLEX(E10,F10)</f>
        <v>-12396,6280527777-45943,9460856497i</v>
      </c>
    </row>
    <row r="11" spans="1:9" x14ac:dyDescent="0.25">
      <c r="D11" s="3"/>
      <c r="E11" s="3"/>
      <c r="F11" s="3"/>
      <c r="G11" s="3"/>
    </row>
    <row r="12" spans="1:9" x14ac:dyDescent="0.25">
      <c r="A12" s="1" t="s">
        <v>17</v>
      </c>
      <c r="B12" s="1" t="s">
        <v>1</v>
      </c>
      <c r="C12" s="1" t="s">
        <v>6</v>
      </c>
      <c r="D12" s="1" t="s">
        <v>7</v>
      </c>
      <c r="E12" s="1" t="s">
        <v>2</v>
      </c>
      <c r="F12" s="1" t="s">
        <v>3</v>
      </c>
      <c r="G12" s="1" t="s">
        <v>4</v>
      </c>
    </row>
    <row r="13" spans="1:9" x14ac:dyDescent="0.25">
      <c r="A13" s="1" t="str">
        <f>+Localización_de_falla!A13</f>
        <v>Vfasefallada (V)</v>
      </c>
      <c r="B13" s="22">
        <f>+Localización_de_falla!B13</f>
        <v>44699</v>
      </c>
      <c r="C13" s="22">
        <f>+Localización_de_falla!C13</f>
        <v>169.7</v>
      </c>
      <c r="D13" s="2">
        <f>+C13*PI()/180</f>
        <v>2.9618237406343768</v>
      </c>
      <c r="E13" s="2">
        <f>+B13*COS(D13)</f>
        <v>-43978.677310591374</v>
      </c>
      <c r="F13" s="2">
        <f>+B13*SIN(D13)</f>
        <v>7992.280213485732</v>
      </c>
      <c r="G13" s="2" t="str">
        <f>+COMPLEX(E13,F13)</f>
        <v>-43978,6773105914+7992,28021348573i</v>
      </c>
    </row>
    <row r="14" spans="1:9" x14ac:dyDescent="0.25">
      <c r="A14" s="1" t="str">
        <f>+Localización_de_falla!A16</f>
        <v>Vpol (V)</v>
      </c>
      <c r="B14" s="22">
        <f>+Localización_de_falla!B16</f>
        <v>211890</v>
      </c>
      <c r="C14" s="22">
        <f>+Localización_de_falla!C16</f>
        <v>-65.3</v>
      </c>
      <c r="D14" s="2">
        <f t="shared" ref="D14:D17" si="4">+C14*PI()/180</f>
        <v>-1.1397000015522971</v>
      </c>
      <c r="E14" s="2">
        <f t="shared" ref="E14:E17" si="5">+B14*COS(D14)</f>
        <v>88541.85426771018</v>
      </c>
      <c r="F14" s="2">
        <f t="shared" ref="F14:F17" si="6">+B14*SIN(D14)</f>
        <v>-192503.79773613706</v>
      </c>
      <c r="G14" s="2" t="str">
        <f t="shared" ref="G14:G17" si="7">+COMPLEX(E14,F14)</f>
        <v>88541,8542677102-192503,797736137i</v>
      </c>
    </row>
    <row r="15" spans="1:9" x14ac:dyDescent="0.25">
      <c r="A15" s="1" t="str">
        <f>+Localización_de_falla!A19</f>
        <v>Z1L (ohm)</v>
      </c>
      <c r="B15" s="22">
        <f>+Localización_de_falla!B19</f>
        <v>62.048250000000003</v>
      </c>
      <c r="C15" s="22">
        <f>+Localización_de_falla!C19</f>
        <v>82.715209999999999</v>
      </c>
      <c r="D15" s="2">
        <f t="shared" si="4"/>
        <v>1.443652755978539</v>
      </c>
      <c r="E15" s="2">
        <f t="shared" si="5"/>
        <v>7.8677982220606753</v>
      </c>
      <c r="F15" s="2">
        <f t="shared" si="6"/>
        <v>61.547405137823965</v>
      </c>
      <c r="G15" s="2" t="str">
        <f t="shared" si="7"/>
        <v>7,86779822206068+61,547405137824i</v>
      </c>
    </row>
    <row r="16" spans="1:9" x14ac:dyDescent="0.25">
      <c r="A16" s="1" t="str">
        <f>+Localización_de_falla!A20</f>
        <v>Z0L (ohm)</v>
      </c>
      <c r="B16" s="22">
        <f>+Localización_de_falla!B20</f>
        <v>175.2361526</v>
      </c>
      <c r="C16" s="22">
        <f>+Localización_de_falla!C20</f>
        <v>77.004562719999996</v>
      </c>
      <c r="D16" s="2">
        <f t="shared" si="4"/>
        <v>1.3439831585224802</v>
      </c>
      <c r="E16" s="2">
        <f t="shared" si="5"/>
        <v>39.40595998213805</v>
      </c>
      <c r="F16" s="2">
        <f t="shared" si="6"/>
        <v>170.74799997638806</v>
      </c>
      <c r="G16" s="2" t="str">
        <f t="shared" si="7"/>
        <v>39,4059599821381+170,747999976388i</v>
      </c>
    </row>
    <row r="17" spans="1:7" x14ac:dyDescent="0.25">
      <c r="A17" s="1" t="str">
        <f>+Localización_de_falla!A14</f>
        <v>Ifasefallada (A)</v>
      </c>
      <c r="B17" s="22">
        <f>+Localización_de_falla!B14</f>
        <v>907.9</v>
      </c>
      <c r="C17" s="22">
        <f>+Localización_de_falla!C14</f>
        <v>79.400000000000006</v>
      </c>
      <c r="D17" s="2">
        <f t="shared" si="4"/>
        <v>1.3857914260834978</v>
      </c>
      <c r="E17" s="2">
        <f t="shared" si="5"/>
        <v>167.00943122128851</v>
      </c>
      <c r="F17" s="2">
        <f t="shared" si="6"/>
        <v>892.40700349288034</v>
      </c>
      <c r="G17" s="2" t="str">
        <f t="shared" si="7"/>
        <v>167,009431221289+892,40700349288i</v>
      </c>
    </row>
    <row r="18" spans="1:7" x14ac:dyDescent="0.25">
      <c r="A18" s="1" t="s">
        <v>0</v>
      </c>
      <c r="B18" s="22">
        <f>+IMABS(G18)</f>
        <v>0.61061969788169412</v>
      </c>
      <c r="C18" s="22">
        <f>+D18*180/PI()</f>
        <v>-8.8244262697458833</v>
      </c>
      <c r="D18" s="2">
        <f>+IMARGUMENT(G18)</f>
        <v>-0.15401529300654693</v>
      </c>
      <c r="E18" s="2">
        <f>+IMREAL(G18)</f>
        <v>0.60339183581171996</v>
      </c>
      <c r="F18" s="2">
        <f>+IMAGINARY(G18)</f>
        <v>-9.3673410938717006E-2</v>
      </c>
      <c r="G18" s="2" t="str">
        <f>+IMDIV(IMSUB(G16,G15),IMPRODUCT(3,G15))</f>
        <v>0,60339183581172-0,093673410938717i</v>
      </c>
    </row>
    <row r="19" spans="1:7" x14ac:dyDescent="0.25">
      <c r="A19" s="1" t="str">
        <f>+Localización_de_falla!A15</f>
        <v>3I0 (A)</v>
      </c>
      <c r="B19" s="22">
        <f>+Localización_de_falla!B15</f>
        <v>1106.0999999999999</v>
      </c>
      <c r="C19" s="22">
        <f>+Localización_de_falla!C15</f>
        <v>-104.1</v>
      </c>
      <c r="D19" s="2">
        <f t="shared" ref="D19:D20" si="8">+C19*PI()/180</f>
        <v>-1.8168877513260968</v>
      </c>
      <c r="E19" s="2">
        <f t="shared" ref="E19:E20" si="9">+B19*COS(D19)</f>
        <v>-269.46256453651915</v>
      </c>
      <c r="F19" s="2">
        <f t="shared" ref="F19:F20" si="10">+B19*SIN(D19)</f>
        <v>-1072.7754361064585</v>
      </c>
      <c r="G19" s="2" t="str">
        <f t="shared" ref="G19:G20" si="11">+COMPLEX(E19,F19)</f>
        <v>-269,462564536519-1072,77543610646i</v>
      </c>
    </row>
    <row r="20" spans="1:7" x14ac:dyDescent="0.25">
      <c r="A20" s="1" t="str">
        <f>+Localización_de_falla!A17</f>
        <v>I2 (A)</v>
      </c>
      <c r="B20" s="22">
        <f>+Localización_de_falla!B17</f>
        <v>273.27999999999997</v>
      </c>
      <c r="C20" s="22">
        <f>+Localización_de_falla!C17</f>
        <v>-56.5</v>
      </c>
      <c r="D20" s="4">
        <f t="shared" si="8"/>
        <v>-0.98611102737679612</v>
      </c>
      <c r="E20" s="4">
        <f t="shared" si="9"/>
        <v>150.83333934607927</v>
      </c>
      <c r="F20" s="4">
        <f t="shared" si="10"/>
        <v>-227.88431745451567</v>
      </c>
      <c r="G20" s="4" t="str">
        <f t="shared" si="11"/>
        <v>150,833339346079-227,884317454516i</v>
      </c>
    </row>
    <row r="21" spans="1:7" x14ac:dyDescent="0.25">
      <c r="A21" s="1" t="str">
        <f>+Localización_de_falla!A18</f>
        <v>V2 (V)</v>
      </c>
      <c r="B21" s="22">
        <f>+Localización_de_falla!B18</f>
        <v>72065</v>
      </c>
      <c r="C21" s="22">
        <f>+Localización_de_falla!C18</f>
        <v>-123</v>
      </c>
      <c r="D21" s="2">
        <f>+C21*PI()/180</f>
        <v>-2.1467549799530254</v>
      </c>
      <c r="E21" s="2">
        <f>+B21*COS(D21)</f>
        <v>-39249.412058357928</v>
      </c>
      <c r="F21" s="2">
        <f>+B21*SIN(D21)</f>
        <v>-60438.79447898698</v>
      </c>
      <c r="G21" s="2" t="str">
        <f>+COMPLEX(E21,F21)</f>
        <v>-39249,4120583579-60438,794478987i</v>
      </c>
    </row>
    <row r="22" spans="1:7" x14ac:dyDescent="0.25">
      <c r="D22" s="3"/>
      <c r="E22" s="3"/>
      <c r="F22" s="3"/>
      <c r="G22" s="3"/>
    </row>
    <row r="23" spans="1:7" x14ac:dyDescent="0.25">
      <c r="D23" s="52" t="s">
        <v>22</v>
      </c>
      <c r="E23" s="53"/>
      <c r="F23" s="54"/>
      <c r="G23" s="3"/>
    </row>
    <row r="24" spans="1:7" x14ac:dyDescent="0.25">
      <c r="D24" s="55">
        <f>+Localización_de_falla!$A$22</f>
        <v>111.6</v>
      </c>
      <c r="E24" s="56"/>
      <c r="F24" s="57"/>
      <c r="G24" s="3"/>
    </row>
    <row r="25" spans="1:7" x14ac:dyDescent="0.25">
      <c r="A25" s="58" t="s">
        <v>11</v>
      </c>
      <c r="B25" s="58"/>
      <c r="D25" s="50" t="s">
        <v>24</v>
      </c>
      <c r="E25" s="50" t="str">
        <f>+ "Distancia desde " &amp; A1 &amp; " (km)"</f>
        <v>Distancia desde Extremo K1 (km)</v>
      </c>
      <c r="F25" s="50" t="str">
        <f>+ "Distancia desde " &amp; A12 &amp; " (km)"</f>
        <v>Distancia desde Extremo K2 (km)</v>
      </c>
      <c r="G25" s="3"/>
    </row>
    <row r="26" spans="1:7" x14ac:dyDescent="0.25">
      <c r="A26" s="1" t="s">
        <v>8</v>
      </c>
      <c r="B26" s="2">
        <f>+IMREAL(IMPRODUCT(G2,G3))</f>
        <v>-25827070065.204899</v>
      </c>
      <c r="D26" s="51"/>
      <c r="E26" s="51"/>
      <c r="F26" s="51"/>
      <c r="G26" s="3"/>
    </row>
    <row r="27" spans="1:7" x14ac:dyDescent="0.25">
      <c r="A27" s="1" t="s">
        <v>9</v>
      </c>
      <c r="B27" s="2">
        <f>+IMREAL(IMPRODUCT(IMPRODUCT(IMSUM(G6,IMPRODUCT(G7,G8)),G3),G4))</f>
        <v>-6114975238.53757</v>
      </c>
      <c r="D27" s="2" t="str">
        <f>+SUBSTITUTE(A25,"Metodo ","")</f>
        <v>1</v>
      </c>
      <c r="E27" s="6">
        <f>+D24*B29</f>
        <v>471.35121678206252</v>
      </c>
      <c r="F27" s="6">
        <f>+$D$24-E27</f>
        <v>-359.75121678206256</v>
      </c>
      <c r="G27" s="3"/>
    </row>
    <row r="28" spans="1:7" x14ac:dyDescent="0.25">
      <c r="A28" s="1" t="s">
        <v>10</v>
      </c>
      <c r="B28" s="2">
        <f>+B26/B27</f>
        <v>4.2235772113088039</v>
      </c>
      <c r="D28" s="2" t="str">
        <f>+SUBSTITUTE(A30,"Metodo ","")</f>
        <v>2</v>
      </c>
      <c r="E28" s="6">
        <f>+D24*B34</f>
        <v>221.48184342979212</v>
      </c>
      <c r="F28" s="6">
        <f>+$D$24-E28</f>
        <v>-109.88184342979213</v>
      </c>
      <c r="G28" s="3"/>
    </row>
    <row r="29" spans="1:7" x14ac:dyDescent="0.25">
      <c r="A29" s="1" t="s">
        <v>23</v>
      </c>
      <c r="B29" s="5">
        <f>+B28</f>
        <v>4.2235772113088039</v>
      </c>
      <c r="D29" s="2" t="str">
        <f>+SUBSTITUTE(A35,"Metodo ","")</f>
        <v>3</v>
      </c>
      <c r="E29" s="6">
        <f>+D24*B39</f>
        <v>805.40192439565749</v>
      </c>
      <c r="F29" s="6">
        <f>+$D$24-E29</f>
        <v>-693.80192439565747</v>
      </c>
      <c r="G29" s="3"/>
    </row>
    <row r="30" spans="1:7" x14ac:dyDescent="0.25">
      <c r="A30" s="58" t="s">
        <v>12</v>
      </c>
      <c r="B30" s="58"/>
      <c r="D30" s="2" t="str">
        <f>+SUBSTITUTE(A40,"Metodo ","")</f>
        <v>4</v>
      </c>
      <c r="E30" s="6">
        <f>+D24*B44</f>
        <v>107.61045787165996</v>
      </c>
      <c r="F30" s="6">
        <f t="shared" ref="F30:F31" si="12">+$D$24-E30</f>
        <v>3.9895421283400339</v>
      </c>
      <c r="G30" s="3"/>
    </row>
    <row r="31" spans="1:7" x14ac:dyDescent="0.25">
      <c r="A31" s="1" t="s">
        <v>8</v>
      </c>
      <c r="B31" s="2">
        <f>+IMAGINARY(IMPRODUCT(G2,G9))</f>
        <v>-5013247.7816683603</v>
      </c>
      <c r="D31" s="2" t="str">
        <f>+SUBSTITUTE(A45,"Metodo ","")</f>
        <v>5</v>
      </c>
      <c r="E31" s="6">
        <f>+D24*B47</f>
        <v>99.844468356524914</v>
      </c>
      <c r="F31" s="6">
        <f t="shared" si="12"/>
        <v>11.755531643475081</v>
      </c>
      <c r="G31" s="3"/>
    </row>
    <row r="32" spans="1:7" ht="15.75" thickBot="1" x14ac:dyDescent="0.3">
      <c r="A32" s="1" t="s">
        <v>9</v>
      </c>
      <c r="B32" s="2">
        <f>+IMAGINARY(IMPRODUCT(IMPRODUCT(IMSUM(G6,IMPRODUCT(G7,G8)),G9),G4))</f>
        <v>-2526069.1520817098</v>
      </c>
      <c r="D32" s="3"/>
      <c r="E32" s="3"/>
      <c r="F32" s="3"/>
      <c r="G32" s="3"/>
    </row>
    <row r="33" spans="1:7" x14ac:dyDescent="0.25">
      <c r="A33" s="1" t="s">
        <v>10</v>
      </c>
      <c r="B33" s="2">
        <f>+B31/B32</f>
        <v>1.9846043318081732</v>
      </c>
      <c r="D33" s="47" t="s">
        <v>26</v>
      </c>
      <c r="E33" s="20"/>
      <c r="F33" s="44" t="s">
        <v>20</v>
      </c>
      <c r="G33" s="3"/>
    </row>
    <row r="34" spans="1:7" ht="30" customHeight="1" x14ac:dyDescent="0.25">
      <c r="A34" s="1" t="s">
        <v>23</v>
      </c>
      <c r="B34" s="5">
        <f>+B33</f>
        <v>1.9846043318081732</v>
      </c>
      <c r="D34" s="48"/>
      <c r="E34" s="19"/>
      <c r="F34" s="45"/>
      <c r="G34" s="3"/>
    </row>
    <row r="35" spans="1:7" ht="15" customHeight="1" x14ac:dyDescent="0.25">
      <c r="A35" s="58" t="s">
        <v>19</v>
      </c>
      <c r="B35" s="58"/>
      <c r="D35" s="48"/>
      <c r="E35" s="19"/>
      <c r="F35" s="45"/>
      <c r="G35" s="3"/>
    </row>
    <row r="36" spans="1:7" x14ac:dyDescent="0.25">
      <c r="A36" s="1" t="s">
        <v>8</v>
      </c>
      <c r="B36" s="2">
        <f>+IMAGINARY(IMPRODUCT(G2,IMSUM(G9,G20)))</f>
        <v>24566425.2013782</v>
      </c>
      <c r="D36" s="49"/>
      <c r="E36" s="19"/>
      <c r="F36" s="45"/>
      <c r="G36" s="3"/>
    </row>
    <row r="37" spans="1:7" ht="15" customHeight="1" thickBot="1" x14ac:dyDescent="0.3">
      <c r="A37" s="1" t="s">
        <v>9</v>
      </c>
      <c r="B37" s="2">
        <f>+IMAGINARY(IMPRODUCT(IMPRODUCT(IMSUM(G6,IMPRODUCT(G7,G8)),IMSUM(G9,G20)),G4))</f>
        <v>3404030.91851439</v>
      </c>
      <c r="D37" s="21" t="str">
        <f>IMPRODUCT(-1,IMDIV(G21,G20))</f>
        <v>-105,151681982209+241,832312136138i</v>
      </c>
      <c r="E37" s="19"/>
      <c r="F37" s="45"/>
      <c r="G37" s="3"/>
    </row>
    <row r="38" spans="1:7" ht="15.75" thickBot="1" x14ac:dyDescent="0.3">
      <c r="A38" s="1" t="s">
        <v>10</v>
      </c>
      <c r="B38" s="2">
        <f>+B36/B37</f>
        <v>7.216863121824888</v>
      </c>
      <c r="D38" s="16"/>
      <c r="E38" s="19"/>
      <c r="F38" s="46"/>
      <c r="G38" s="3"/>
    </row>
    <row r="39" spans="1:7" x14ac:dyDescent="0.25">
      <c r="A39" s="1" t="s">
        <v>23</v>
      </c>
      <c r="B39" s="5">
        <f>+B38</f>
        <v>7.216863121824888</v>
      </c>
      <c r="D39" s="17"/>
      <c r="E39" s="19"/>
      <c r="F39" s="18"/>
      <c r="G39" s="3"/>
    </row>
    <row r="40" spans="1:7" x14ac:dyDescent="0.25">
      <c r="A40" s="58" t="s">
        <v>16</v>
      </c>
      <c r="B40" s="58"/>
      <c r="D40" s="16" t="s">
        <v>27</v>
      </c>
      <c r="E40" s="15" t="str">
        <f>IMPRODUCT(-1,G10)</f>
        <v>12396,6280527777+45943,9460856497i</v>
      </c>
      <c r="F40" s="14" t="s">
        <v>28</v>
      </c>
    </row>
    <row r="41" spans="1:7" x14ac:dyDescent="0.25">
      <c r="A41" s="1" t="s">
        <v>8</v>
      </c>
      <c r="B41" s="2" t="str">
        <f>+IMSUB(IMSUM(IMPRODUCT(G20,G15),G10),G21)</f>
        <v>42065,1986956443+21985,3012106572i</v>
      </c>
      <c r="D41" s="16" t="s">
        <v>29</v>
      </c>
      <c r="E41" s="15" t="str">
        <f>IMPRODUCT(G4,G9)</f>
        <v>5896,56329969893+28511,5408825532i</v>
      </c>
      <c r="F41" s="14" t="s">
        <v>28</v>
      </c>
    </row>
    <row r="42" spans="1:7" ht="30" x14ac:dyDescent="0.25">
      <c r="A42" s="1" t="s">
        <v>9</v>
      </c>
      <c r="B42" s="2" t="str">
        <f>+IMPRODUCT(IMSUM(G9,G20),G4)</f>
        <v>21108,9779897631+36001,993699873i</v>
      </c>
      <c r="D42" s="16" t="s">
        <v>30</v>
      </c>
      <c r="E42" s="13" t="str">
        <f>IMSUM(D37,G4)</f>
        <v>-97,2838837601483+303,379717273962i</v>
      </c>
      <c r="F42" s="14" t="s">
        <v>31</v>
      </c>
    </row>
    <row r="43" spans="1:7" x14ac:dyDescent="0.25">
      <c r="A43" s="1" t="s">
        <v>10</v>
      </c>
      <c r="B43" s="2">
        <f>+IMREAL(IMDIV(B41,B42))</f>
        <v>0.96425141462060904</v>
      </c>
      <c r="D43" s="16" t="s">
        <v>32</v>
      </c>
      <c r="E43" s="15" t="str">
        <f>+G4</f>
        <v>7,86779822206068+61,547405137824i</v>
      </c>
      <c r="F43" s="14" t="s">
        <v>31</v>
      </c>
    </row>
    <row r="44" spans="1:7" x14ac:dyDescent="0.25">
      <c r="A44" s="1" t="s">
        <v>23</v>
      </c>
      <c r="B44" s="5">
        <f>+B43</f>
        <v>0.96425141462060904</v>
      </c>
      <c r="D44" s="16"/>
      <c r="E44" s="15"/>
      <c r="F44" s="14"/>
    </row>
    <row r="45" spans="1:7" x14ac:dyDescent="0.25">
      <c r="A45" s="58" t="s">
        <v>20</v>
      </c>
      <c r="B45" s="58"/>
      <c r="D45" s="16"/>
      <c r="E45" s="15"/>
      <c r="F45" s="14"/>
    </row>
    <row r="46" spans="1:7" x14ac:dyDescent="0.25">
      <c r="A46" s="1" t="s">
        <v>10</v>
      </c>
      <c r="B46" s="8">
        <f>+E75</f>
        <v>0.89466369495094011</v>
      </c>
      <c r="D46" s="16" t="s">
        <v>33</v>
      </c>
      <c r="E46" s="15">
        <f>+B20^2</f>
        <v>74681.958399999989</v>
      </c>
      <c r="F46" s="14" t="s">
        <v>34</v>
      </c>
    </row>
    <row r="47" spans="1:7" x14ac:dyDescent="0.25">
      <c r="A47" s="1" t="s">
        <v>23</v>
      </c>
      <c r="B47" s="5">
        <f>+B46</f>
        <v>0.89466369495094011</v>
      </c>
      <c r="D47" s="16" t="s">
        <v>35</v>
      </c>
      <c r="E47" s="15">
        <f>+B15^2</f>
        <v>3849.9853280625002</v>
      </c>
      <c r="F47" s="14" t="s">
        <v>36</v>
      </c>
    </row>
    <row r="48" spans="1:7" x14ac:dyDescent="0.25">
      <c r="D48" s="16" t="s">
        <v>37</v>
      </c>
      <c r="E48" s="12">
        <f>(IMABS(E41))^2</f>
        <v>847677422.24485874</v>
      </c>
      <c r="F48" s="14" t="s">
        <v>38</v>
      </c>
    </row>
    <row r="49" spans="4:6" x14ac:dyDescent="0.25">
      <c r="D49" s="16"/>
      <c r="E49" s="15"/>
      <c r="F49" s="14"/>
    </row>
    <row r="50" spans="4:6" x14ac:dyDescent="0.25">
      <c r="D50" s="11" t="s">
        <v>39</v>
      </c>
      <c r="E50" s="12">
        <f>E46*E47-E48</f>
        <v>-560152978.13388479</v>
      </c>
      <c r="F50" s="14" t="s">
        <v>38</v>
      </c>
    </row>
    <row r="51" spans="4:6" x14ac:dyDescent="0.25">
      <c r="D51" s="16"/>
      <c r="E51" s="15"/>
      <c r="F51" s="14"/>
    </row>
    <row r="52" spans="4:6" x14ac:dyDescent="0.25">
      <c r="D52" s="16" t="s">
        <v>40</v>
      </c>
      <c r="E52" s="15">
        <f>IMREAL(E42)</f>
        <v>-97.283883760148299</v>
      </c>
      <c r="F52" s="14" t="s">
        <v>31</v>
      </c>
    </row>
    <row r="53" spans="4:6" x14ac:dyDescent="0.25">
      <c r="D53" s="16" t="s">
        <v>41</v>
      </c>
      <c r="E53" s="15">
        <f>IMREAL(E43)</f>
        <v>7.8677982220606797</v>
      </c>
      <c r="F53" s="14" t="s">
        <v>31</v>
      </c>
    </row>
    <row r="54" spans="4:6" x14ac:dyDescent="0.25">
      <c r="D54" s="16" t="s">
        <v>42</v>
      </c>
      <c r="E54" s="15">
        <f>IMAGINARY(E42)</f>
        <v>303.379717273962</v>
      </c>
      <c r="F54" s="14" t="s">
        <v>31</v>
      </c>
    </row>
    <row r="55" spans="4:6" x14ac:dyDescent="0.25">
      <c r="D55" s="16" t="s">
        <v>43</v>
      </c>
      <c r="E55" s="15">
        <f>IMAGINARY(E43)</f>
        <v>61.547405137824001</v>
      </c>
      <c r="F55" s="14" t="s">
        <v>31</v>
      </c>
    </row>
    <row r="56" spans="4:6" x14ac:dyDescent="0.25">
      <c r="D56" s="16"/>
      <c r="E56" s="15"/>
      <c r="F56" s="14"/>
    </row>
    <row r="57" spans="4:6" x14ac:dyDescent="0.25">
      <c r="D57" s="16" t="s">
        <v>44</v>
      </c>
      <c r="E57" s="15">
        <f>E52*E53+E54*E55</f>
        <v>17906.824401975791</v>
      </c>
      <c r="F57" s="14" t="s">
        <v>36</v>
      </c>
    </row>
    <row r="58" spans="4:6" x14ac:dyDescent="0.25">
      <c r="D58" s="16"/>
      <c r="E58" s="15"/>
      <c r="F58" s="14"/>
    </row>
    <row r="59" spans="4:6" x14ac:dyDescent="0.25">
      <c r="D59" s="16" t="s">
        <v>45</v>
      </c>
      <c r="E59" s="15">
        <f>IMREAL(E40)</f>
        <v>12396.6280527777</v>
      </c>
      <c r="F59" s="14" t="s">
        <v>28</v>
      </c>
    </row>
    <row r="60" spans="4:6" x14ac:dyDescent="0.25">
      <c r="D60" s="16" t="s">
        <v>46</v>
      </c>
      <c r="E60" s="12">
        <f>IMREAL(E41)</f>
        <v>5896.5632996989298</v>
      </c>
      <c r="F60" s="14" t="s">
        <v>28</v>
      </c>
    </row>
    <row r="61" spans="4:6" x14ac:dyDescent="0.25">
      <c r="D61" s="16" t="s">
        <v>47</v>
      </c>
      <c r="E61" s="15">
        <f>IMAGINARY(E40)</f>
        <v>45943.946085649703</v>
      </c>
      <c r="F61" s="14" t="s">
        <v>28</v>
      </c>
    </row>
    <row r="62" spans="4:6" x14ac:dyDescent="0.25">
      <c r="D62" s="16" t="s">
        <v>21</v>
      </c>
      <c r="E62" s="12">
        <f>IMAGINARY(E41)</f>
        <v>28511.540882553199</v>
      </c>
      <c r="F62" s="14" t="s">
        <v>28</v>
      </c>
    </row>
    <row r="63" spans="4:6" x14ac:dyDescent="0.25">
      <c r="D63" s="16"/>
      <c r="E63" s="15"/>
      <c r="F63" s="14"/>
    </row>
    <row r="64" spans="4:6" x14ac:dyDescent="0.25">
      <c r="D64" s="16" t="s">
        <v>48</v>
      </c>
      <c r="E64" s="12">
        <f>E59*E60+E61*E62</f>
        <v>1383030199.1428487</v>
      </c>
      <c r="F64" s="14" t="s">
        <v>38</v>
      </c>
    </row>
    <row r="65" spans="4:6" x14ac:dyDescent="0.25">
      <c r="D65" s="16"/>
      <c r="E65" s="15"/>
      <c r="F65" s="14"/>
    </row>
    <row r="66" spans="4:6" x14ac:dyDescent="0.25">
      <c r="D66" s="11" t="s">
        <v>49</v>
      </c>
      <c r="E66" s="12">
        <f>-2*E46*E57-2*E64</f>
        <v>-5440693828.4146194</v>
      </c>
      <c r="F66" s="14" t="s">
        <v>38</v>
      </c>
    </row>
    <row r="67" spans="4:6" x14ac:dyDescent="0.25">
      <c r="D67" s="16"/>
      <c r="E67" s="15"/>
      <c r="F67" s="14"/>
    </row>
    <row r="68" spans="4:6" x14ac:dyDescent="0.25">
      <c r="D68" s="16" t="s">
        <v>50</v>
      </c>
      <c r="E68" s="15">
        <f>(IMABS(E42))^2</f>
        <v>101503.40689268714</v>
      </c>
      <c r="F68" s="14" t="s">
        <v>36</v>
      </c>
    </row>
    <row r="69" spans="4:6" x14ac:dyDescent="0.25">
      <c r="D69" s="16" t="s">
        <v>51</v>
      </c>
      <c r="E69" s="15">
        <f>(IMABS(E40))^2</f>
        <v>2264522569.0000014</v>
      </c>
      <c r="F69" s="14" t="s">
        <v>38</v>
      </c>
    </row>
    <row r="70" spans="4:6" x14ac:dyDescent="0.25">
      <c r="D70" s="16"/>
      <c r="E70" s="15"/>
      <c r="F70" s="14"/>
    </row>
    <row r="71" spans="4:6" x14ac:dyDescent="0.25">
      <c r="D71" s="11" t="s">
        <v>52</v>
      </c>
      <c r="E71" s="15">
        <f>E46*E68-E69</f>
        <v>5315950642.017931</v>
      </c>
      <c r="F71" s="14" t="s">
        <v>38</v>
      </c>
    </row>
    <row r="72" spans="4:6" x14ac:dyDescent="0.25">
      <c r="D72" s="16"/>
      <c r="E72" s="15"/>
      <c r="F72" s="14"/>
    </row>
    <row r="73" spans="4:6" x14ac:dyDescent="0.25">
      <c r="D73" s="16" t="s">
        <v>53</v>
      </c>
      <c r="E73" s="12">
        <f>(-E66+SQRT(E66^2-4*E50*E71))/(2*E50)</f>
        <v>-10.607535072587737</v>
      </c>
      <c r="F73" s="14" t="s">
        <v>54</v>
      </c>
    </row>
    <row r="74" spans="4:6" x14ac:dyDescent="0.25">
      <c r="D74" s="16"/>
      <c r="E74" s="15"/>
      <c r="F74" s="14"/>
    </row>
    <row r="75" spans="4:6" x14ac:dyDescent="0.25">
      <c r="D75" s="11" t="s">
        <v>55</v>
      </c>
      <c r="E75" s="12">
        <f>(-E66-SQRT(E66^2-4*E50*E71))/(2*E50)</f>
        <v>0.89466369495094011</v>
      </c>
      <c r="F75" s="14" t="s">
        <v>56</v>
      </c>
    </row>
    <row r="76" spans="4:6" ht="15.75" thickBot="1" x14ac:dyDescent="0.3">
      <c r="D76" s="10"/>
      <c r="E76" s="9">
        <f>+E75</f>
        <v>0.89466369495094011</v>
      </c>
      <c r="F76" s="7"/>
    </row>
  </sheetData>
  <mergeCells count="12">
    <mergeCell ref="A25:B25"/>
    <mergeCell ref="A30:B30"/>
    <mergeCell ref="A40:B40"/>
    <mergeCell ref="A45:B45"/>
    <mergeCell ref="A35:B35"/>
    <mergeCell ref="F33:F38"/>
    <mergeCell ref="D33:D36"/>
    <mergeCell ref="E25:E26"/>
    <mergeCell ref="F25:F26"/>
    <mergeCell ref="D23:F23"/>
    <mergeCell ref="D24:F24"/>
    <mergeCell ref="D25:D26"/>
  </mergeCells>
  <pageMargins left="0.7" right="0.7" top="0.75" bottom="0.75" header="0.3" footer="0.3"/>
  <ignoredErrors>
    <ignoredError sqref="D7:G7" formula="1"/>
    <ignoredError sqref="C18" evalError="1"/>
    <ignoredError sqref="D18:F18" evalError="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Localización_de_falla</vt:lpstr>
      <vt:lpstr>Metodo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 David Moreno Arcila</dc:creator>
  <cp:lastModifiedBy>Omar David Moreno Arcila</cp:lastModifiedBy>
  <dcterms:created xsi:type="dcterms:W3CDTF">2015-10-13T13:35:56Z</dcterms:created>
  <dcterms:modified xsi:type="dcterms:W3CDTF">2016-05-31T20:05:32Z</dcterms:modified>
</cp:coreProperties>
</file>