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trlProps/ctrlProp13.xml" ContentType="application/vnd.ms-excel.controlproperties+xml"/>
  <Override PartName="/xl/drawings/drawing3.xml" ContentType="application/vnd.openxmlformats-officedocument.drawing+xml"/>
  <Override PartName="/xl/ctrlProps/ctrlProp14.xml" ContentType="application/vnd.ms-excel.controlproperties+xml"/>
  <Override PartName="/xl/drawings/drawing4.xml" ContentType="application/vnd.openxmlformats-officedocument.drawing+xml"/>
  <Override PartName="/xl/ctrlProps/ctrlProp15.xml" ContentType="application/vnd.ms-excel.controlproperties+xml"/>
  <Override PartName="/xl/drawings/drawing5.xml" ContentType="application/vnd.openxmlformats-officedocument.drawing+xml"/>
  <Override PartName="/xl/ctrlProps/ctrlProp16.xml" ContentType="application/vnd.ms-excel.controlproperties+xml"/>
  <Override PartName="/xl/drawings/drawing6.xml" ContentType="application/vnd.openxmlformats-officedocument.drawing+xml"/>
  <Override PartName="/xl/ctrlProps/ctrlProp17.xml" ContentType="application/vnd.ms-excel.controlproperties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drawings/drawing8.xml" ContentType="application/vnd.openxmlformats-officedocument.drawingml.chartshapes+xml"/>
  <Override PartName="/xl/charts/chart2.xml" ContentType="application/vnd.openxmlformats-officedocument.drawingml.chart+xml"/>
  <Override PartName="/xl/drawings/drawing9.xml" ContentType="application/vnd.openxmlformats-officedocument.drawingml.chartshape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10.xml" ContentType="application/vnd.openxmlformats-officedocument.drawingml.chartshapes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omments1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13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16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0490" windowHeight="7695" tabRatio="738"/>
  </bookViews>
  <sheets>
    <sheet name="Menu" sheetId="14" r:id="rId1"/>
    <sheet name="Promedio" sheetId="19" state="hidden" r:id="rId2"/>
    <sheet name="patents" sheetId="15" state="hidden" r:id="rId3"/>
    <sheet name="News" sheetId="16" state="hidden" r:id="rId4"/>
    <sheet name="Trends" sheetId="17" state="hidden" r:id="rId5"/>
    <sheet name="T_Scopus" sheetId="18" state="hidden" r:id="rId6"/>
    <sheet name="Grafica de Mapas Tematicos" sheetId="13" r:id="rId7"/>
    <sheet name="Promedios del estudio" sheetId="6" r:id="rId8"/>
    <sheet name="Google Trends" sheetId="2" r:id="rId9"/>
    <sheet name="Google News" sheetId="3" r:id="rId10"/>
    <sheet name="Free Patents" sheetId="4" r:id="rId11"/>
    <sheet name="Scopus" sheetId="5" r:id="rId12"/>
    <sheet name="Instrucciones" sheetId="20" r:id="rId13"/>
    <sheet name="Hoja2" sheetId="21" r:id="rId14"/>
    <sheet name="Hoja3" sheetId="22" r:id="rId15"/>
  </sheets>
  <definedNames>
    <definedName name="_xlnm._FilterDatabase" localSheetId="10" hidden="1">'Free Patents'!$D$59:$F$59</definedName>
  </definedNames>
  <calcPr calcId="145621"/>
</workbook>
</file>

<file path=xl/calcChain.xml><?xml version="1.0" encoding="utf-8"?>
<calcChain xmlns="http://schemas.openxmlformats.org/spreadsheetml/2006/main">
  <c r="C169" i="5" l="1"/>
  <c r="B169" i="5"/>
  <c r="C168" i="5"/>
  <c r="AF81" i="13" s="1"/>
  <c r="B168" i="5"/>
  <c r="AE81" i="13" s="1"/>
  <c r="C167" i="5"/>
  <c r="B167" i="5"/>
  <c r="AE80" i="13" s="1"/>
  <c r="C166" i="5"/>
  <c r="AF79" i="13" s="1"/>
  <c r="B166" i="5"/>
  <c r="AE79" i="13" s="1"/>
  <c r="C165" i="5"/>
  <c r="B165" i="5"/>
  <c r="AE78" i="13" s="1"/>
  <c r="C158" i="5"/>
  <c r="AF50" i="13" s="1"/>
  <c r="B158" i="5"/>
  <c r="AE50" i="13" s="1"/>
  <c r="C157" i="5"/>
  <c r="B157" i="5"/>
  <c r="AE49" i="13" s="1"/>
  <c r="C156" i="5"/>
  <c r="AF48" i="13" s="1"/>
  <c r="B156" i="5"/>
  <c r="AE48" i="13" s="1"/>
  <c r="C155" i="5"/>
  <c r="B155" i="5"/>
  <c r="AE47" i="13" s="1"/>
  <c r="C154" i="5"/>
  <c r="AF46" i="13" s="1"/>
  <c r="B154" i="5"/>
  <c r="AE46" i="13" s="1"/>
  <c r="C146" i="5"/>
  <c r="B146" i="5"/>
  <c r="C145" i="5"/>
  <c r="B145" i="5"/>
  <c r="C144" i="5"/>
  <c r="B144" i="5"/>
  <c r="C143" i="5"/>
  <c r="B143" i="5"/>
  <c r="C142" i="5"/>
  <c r="B142" i="5"/>
  <c r="C141" i="5"/>
  <c r="AF77" i="13" s="1"/>
  <c r="B141" i="5"/>
  <c r="AE77" i="13" s="1"/>
  <c r="C140" i="5"/>
  <c r="AF76" i="13" s="1"/>
  <c r="B140" i="5"/>
  <c r="AE76" i="13" s="1"/>
  <c r="C139" i="5"/>
  <c r="AF75" i="13" s="1"/>
  <c r="B139" i="5"/>
  <c r="AE75" i="13" s="1"/>
  <c r="C138" i="5"/>
  <c r="AF74" i="13" s="1"/>
  <c r="B138" i="5"/>
  <c r="AE74" i="13" s="1"/>
  <c r="C137" i="5"/>
  <c r="AF73" i="13" s="1"/>
  <c r="B137" i="5"/>
  <c r="AE73" i="13" s="1"/>
  <c r="C136" i="5"/>
  <c r="B136" i="5"/>
  <c r="AE72" i="13" s="1"/>
  <c r="C135" i="5"/>
  <c r="AF71" i="13" s="1"/>
  <c r="B135" i="5"/>
  <c r="AE71" i="13" s="1"/>
  <c r="C134" i="5"/>
  <c r="AF70" i="13" s="1"/>
  <c r="B134" i="5"/>
  <c r="AE70" i="13" s="1"/>
  <c r="C133" i="5"/>
  <c r="AF69" i="13" s="1"/>
  <c r="B133" i="5"/>
  <c r="AE69" i="13" s="1"/>
  <c r="C132" i="5"/>
  <c r="B132" i="5"/>
  <c r="AE68" i="13" s="1"/>
  <c r="C131" i="5"/>
  <c r="AF67" i="13" s="1"/>
  <c r="B131" i="5"/>
  <c r="AE67" i="13" s="1"/>
  <c r="C130" i="5"/>
  <c r="AF66" i="13" s="1"/>
  <c r="B130" i="5"/>
  <c r="AE66" i="13" s="1"/>
  <c r="C129" i="5"/>
  <c r="AF65" i="13" s="1"/>
  <c r="B129" i="5"/>
  <c r="AE65" i="13" s="1"/>
  <c r="C128" i="5"/>
  <c r="B128" i="5"/>
  <c r="AE64" i="13" s="1"/>
  <c r="C127" i="5"/>
  <c r="AF63" i="13" s="1"/>
  <c r="B127" i="5"/>
  <c r="AE63" i="13" s="1"/>
  <c r="C126" i="5"/>
  <c r="AF62" i="13" s="1"/>
  <c r="B126" i="5"/>
  <c r="AE62" i="13" s="1"/>
  <c r="C125" i="5"/>
  <c r="AF61" i="13" s="1"/>
  <c r="B125" i="5"/>
  <c r="AE61" i="13" s="1"/>
  <c r="C124" i="5"/>
  <c r="AF60" i="13" s="1"/>
  <c r="B124" i="5"/>
  <c r="AE60" i="13" s="1"/>
  <c r="C123" i="5"/>
  <c r="AF59" i="13" s="1"/>
  <c r="B123" i="5"/>
  <c r="AE59" i="13" s="1"/>
  <c r="C122" i="5"/>
  <c r="B122" i="5"/>
  <c r="AE58" i="13" s="1"/>
  <c r="C121" i="5"/>
  <c r="AF57" i="13" s="1"/>
  <c r="B121" i="5"/>
  <c r="AE57" i="13" s="1"/>
  <c r="C120" i="5"/>
  <c r="AF56" i="13" s="1"/>
  <c r="B120" i="5"/>
  <c r="AE56" i="13" s="1"/>
  <c r="C119" i="5"/>
  <c r="AF55" i="13" s="1"/>
  <c r="B119" i="5"/>
  <c r="AE55" i="13" s="1"/>
  <c r="C118" i="5"/>
  <c r="AF54" i="13" s="1"/>
  <c r="B118" i="5"/>
  <c r="AE54" i="13" s="1"/>
  <c r="C117" i="5"/>
  <c r="AF53" i="13" s="1"/>
  <c r="B117" i="5"/>
  <c r="AE53" i="13" s="1"/>
  <c r="C116" i="5"/>
  <c r="AF52" i="13" s="1"/>
  <c r="B116" i="5"/>
  <c r="AE52" i="13" s="1"/>
  <c r="C115" i="5"/>
  <c r="AF51" i="13" s="1"/>
  <c r="B115" i="5"/>
  <c r="AE51" i="13" s="1"/>
  <c r="E163" i="4"/>
  <c r="Z82" i="13" s="1"/>
  <c r="D163" i="4"/>
  <c r="Y82" i="13" s="1"/>
  <c r="E162" i="4"/>
  <c r="Z81" i="13" s="1"/>
  <c r="D162" i="4"/>
  <c r="Y81" i="13" s="1"/>
  <c r="E161" i="4"/>
  <c r="Z80" i="13" s="1"/>
  <c r="D161" i="4"/>
  <c r="Y80" i="13" s="1"/>
  <c r="E160" i="4"/>
  <c r="D160" i="4"/>
  <c r="Y79" i="13" s="1"/>
  <c r="E159" i="4"/>
  <c r="Z78" i="13" s="1"/>
  <c r="D159" i="4"/>
  <c r="Y78" i="13" s="1"/>
  <c r="E150" i="4"/>
  <c r="Z50" i="13" s="1"/>
  <c r="D150" i="4"/>
  <c r="Y50" i="13" s="1"/>
  <c r="E149" i="4"/>
  <c r="D149" i="4"/>
  <c r="Y49" i="13" s="1"/>
  <c r="E148" i="4"/>
  <c r="Z48" i="13" s="1"/>
  <c r="D148" i="4"/>
  <c r="Y48" i="13" s="1"/>
  <c r="E147" i="4"/>
  <c r="D147" i="4"/>
  <c r="Y47" i="13" s="1"/>
  <c r="E146" i="4"/>
  <c r="Z46" i="13" s="1"/>
  <c r="D146" i="4"/>
  <c r="Y46" i="13" s="1"/>
  <c r="E139" i="4"/>
  <c r="D139" i="4"/>
  <c r="E138" i="4"/>
  <c r="D138" i="4"/>
  <c r="E137" i="4"/>
  <c r="D137" i="4"/>
  <c r="E136" i="4"/>
  <c r="D136" i="4"/>
  <c r="E135" i="4"/>
  <c r="D135" i="4"/>
  <c r="E134" i="4"/>
  <c r="Z77" i="13" s="1"/>
  <c r="D134" i="4"/>
  <c r="Y77" i="13" s="1"/>
  <c r="E133" i="4"/>
  <c r="Z76" i="13" s="1"/>
  <c r="D133" i="4"/>
  <c r="Y76" i="13" s="1"/>
  <c r="E132" i="4"/>
  <c r="Z75" i="13" s="1"/>
  <c r="D132" i="4"/>
  <c r="Y75" i="13" s="1"/>
  <c r="E131" i="4"/>
  <c r="Z74" i="13" s="1"/>
  <c r="D131" i="4"/>
  <c r="Y74" i="13" s="1"/>
  <c r="E130" i="4"/>
  <c r="Z73" i="13" s="1"/>
  <c r="D130" i="4"/>
  <c r="Y73" i="13" s="1"/>
  <c r="E129" i="4"/>
  <c r="Z72" i="13" s="1"/>
  <c r="D129" i="4"/>
  <c r="Y72" i="13" s="1"/>
  <c r="E128" i="4"/>
  <c r="Z71" i="13" s="1"/>
  <c r="D128" i="4"/>
  <c r="Y71" i="13" s="1"/>
  <c r="E127" i="4"/>
  <c r="D127" i="4"/>
  <c r="Y70" i="13" s="1"/>
  <c r="E126" i="4"/>
  <c r="Z69" i="13" s="1"/>
  <c r="D126" i="4"/>
  <c r="Y69" i="13" s="1"/>
  <c r="E125" i="4"/>
  <c r="Z68" i="13" s="1"/>
  <c r="D125" i="4"/>
  <c r="Y68" i="13" s="1"/>
  <c r="E124" i="4"/>
  <c r="Z67" i="13" s="1"/>
  <c r="D124" i="4"/>
  <c r="Y67" i="13" s="1"/>
  <c r="E123" i="4"/>
  <c r="Z66" i="13" s="1"/>
  <c r="D123" i="4"/>
  <c r="Y66" i="13" s="1"/>
  <c r="E122" i="4"/>
  <c r="Z65" i="13" s="1"/>
  <c r="D122" i="4"/>
  <c r="Y65" i="13" s="1"/>
  <c r="E121" i="4"/>
  <c r="D121" i="4"/>
  <c r="Y64" i="13" s="1"/>
  <c r="E120" i="4"/>
  <c r="Z63" i="13" s="1"/>
  <c r="D120" i="4"/>
  <c r="Y63" i="13" s="1"/>
  <c r="E119" i="4"/>
  <c r="Z62" i="13" s="1"/>
  <c r="D119" i="4"/>
  <c r="Y62" i="13" s="1"/>
  <c r="E118" i="4"/>
  <c r="Z61" i="13" s="1"/>
  <c r="D118" i="4"/>
  <c r="Y61" i="13" s="1"/>
  <c r="E117" i="4"/>
  <c r="Z60" i="13" s="1"/>
  <c r="D117" i="4"/>
  <c r="Y60" i="13" s="1"/>
  <c r="E116" i="4"/>
  <c r="Z59" i="13" s="1"/>
  <c r="D116" i="4"/>
  <c r="Y59" i="13" s="1"/>
  <c r="E115" i="4"/>
  <c r="Z58" i="13" s="1"/>
  <c r="D115" i="4"/>
  <c r="Y58" i="13" s="1"/>
  <c r="E114" i="4"/>
  <c r="Z57" i="13" s="1"/>
  <c r="D114" i="4"/>
  <c r="Y57" i="13" s="1"/>
  <c r="E113" i="4"/>
  <c r="Z56" i="13" s="1"/>
  <c r="D113" i="4"/>
  <c r="Y56" i="13" s="1"/>
  <c r="E112" i="4"/>
  <c r="Z55" i="13" s="1"/>
  <c r="D112" i="4"/>
  <c r="Y55" i="13" s="1"/>
  <c r="E111" i="4"/>
  <c r="Z54" i="13" s="1"/>
  <c r="D111" i="4"/>
  <c r="Y54" i="13" s="1"/>
  <c r="E110" i="4"/>
  <c r="Z53" i="13" s="1"/>
  <c r="D110" i="4"/>
  <c r="Y53" i="13" s="1"/>
  <c r="E109" i="4"/>
  <c r="Z52" i="13" s="1"/>
  <c r="D109" i="4"/>
  <c r="Y52" i="13" s="1"/>
  <c r="E108" i="4"/>
  <c r="Z51" i="13" s="1"/>
  <c r="D108" i="4"/>
  <c r="Y51" i="13" s="1"/>
  <c r="E107" i="4"/>
  <c r="E106" i="4"/>
  <c r="E105" i="4"/>
  <c r="E104" i="4"/>
  <c r="E103" i="4"/>
  <c r="DM5" i="4"/>
  <c r="DJ5" i="4"/>
  <c r="DG5" i="4"/>
  <c r="DD5" i="4"/>
  <c r="DA5" i="4"/>
  <c r="CX5" i="4"/>
  <c r="CU5" i="4"/>
  <c r="CR5" i="4"/>
  <c r="CO5" i="4"/>
  <c r="CL5" i="4"/>
  <c r="CI5" i="4"/>
  <c r="CF5" i="4"/>
  <c r="CC5" i="4"/>
  <c r="BZ5" i="4"/>
  <c r="BW5" i="4"/>
  <c r="BT5" i="4"/>
  <c r="BQ5" i="4"/>
  <c r="BN5" i="4"/>
  <c r="BK5" i="4"/>
  <c r="BH5" i="4"/>
  <c r="BE5" i="4"/>
  <c r="BB5" i="4"/>
  <c r="AY5" i="4"/>
  <c r="AV5" i="4"/>
  <c r="AS5" i="4"/>
  <c r="AR5" i="4"/>
  <c r="AP5" i="4"/>
  <c r="AM5" i="4"/>
  <c r="AJ5" i="4"/>
  <c r="AG5" i="4"/>
  <c r="AD5" i="4"/>
  <c r="AA5" i="4"/>
  <c r="U5" i="4"/>
  <c r="R5" i="4"/>
  <c r="O5" i="4"/>
  <c r="L5" i="4"/>
  <c r="I5" i="4"/>
  <c r="D165" i="3"/>
  <c r="N82" i="13" s="1"/>
  <c r="C165" i="3"/>
  <c r="M82" i="13" s="1"/>
  <c r="D164" i="3"/>
  <c r="N81" i="13" s="1"/>
  <c r="C164" i="3"/>
  <c r="M81" i="13" s="1"/>
  <c r="D163" i="3"/>
  <c r="N80" i="13" s="1"/>
  <c r="C163" i="3"/>
  <c r="M80" i="13" s="1"/>
  <c r="D162" i="3"/>
  <c r="N79" i="13" s="1"/>
  <c r="C162" i="3"/>
  <c r="M79" i="13" s="1"/>
  <c r="D161" i="3"/>
  <c r="N78" i="13" s="1"/>
  <c r="C161" i="3"/>
  <c r="M78" i="13" s="1"/>
  <c r="D154" i="3"/>
  <c r="C154" i="3"/>
  <c r="M50" i="13" s="1"/>
  <c r="D153" i="3"/>
  <c r="N49" i="13" s="1"/>
  <c r="C153" i="3"/>
  <c r="M49" i="13" s="1"/>
  <c r="D152" i="3"/>
  <c r="N48" i="13" s="1"/>
  <c r="C152" i="3"/>
  <c r="M48" i="13" s="1"/>
  <c r="D151" i="3"/>
  <c r="N47" i="13" s="1"/>
  <c r="C151" i="3"/>
  <c r="M47" i="13" s="1"/>
  <c r="D150" i="3"/>
  <c r="C150" i="3"/>
  <c r="M46" i="13" s="1"/>
  <c r="D142" i="3"/>
  <c r="D141" i="3"/>
  <c r="D140" i="3"/>
  <c r="D139" i="3"/>
  <c r="D138" i="3"/>
  <c r="D137" i="3"/>
  <c r="N77" i="13" s="1"/>
  <c r="C137" i="3"/>
  <c r="M77" i="13" s="1"/>
  <c r="D136" i="3"/>
  <c r="N76" i="13" s="1"/>
  <c r="C136" i="3"/>
  <c r="M76" i="13" s="1"/>
  <c r="D135" i="3"/>
  <c r="N75" i="13" s="1"/>
  <c r="C135" i="3"/>
  <c r="D134" i="3"/>
  <c r="N74" i="13" s="1"/>
  <c r="C134" i="3"/>
  <c r="M74" i="13" s="1"/>
  <c r="D133" i="3"/>
  <c r="N73" i="13" s="1"/>
  <c r="C133" i="3"/>
  <c r="M73" i="13" s="1"/>
  <c r="D132" i="3"/>
  <c r="N72" i="13" s="1"/>
  <c r="C132" i="3"/>
  <c r="M72" i="13" s="1"/>
  <c r="D131" i="3"/>
  <c r="N71" i="13" s="1"/>
  <c r="C131" i="3"/>
  <c r="M71" i="13" s="1"/>
  <c r="D130" i="3"/>
  <c r="N70" i="13" s="1"/>
  <c r="C130" i="3"/>
  <c r="M70" i="13" s="1"/>
  <c r="D129" i="3"/>
  <c r="N69" i="13" s="1"/>
  <c r="C129" i="3"/>
  <c r="D128" i="3"/>
  <c r="N68" i="13" s="1"/>
  <c r="C128" i="3"/>
  <c r="M68" i="13" s="1"/>
  <c r="D127" i="3"/>
  <c r="N67" i="13" s="1"/>
  <c r="C127" i="3"/>
  <c r="M67" i="13" s="1"/>
  <c r="D126" i="3"/>
  <c r="N66" i="13" s="1"/>
  <c r="C126" i="3"/>
  <c r="M66" i="13" s="1"/>
  <c r="D125" i="3"/>
  <c r="N65" i="13" s="1"/>
  <c r="C125" i="3"/>
  <c r="M65" i="13" s="1"/>
  <c r="D124" i="3"/>
  <c r="N64" i="13" s="1"/>
  <c r="C124" i="3"/>
  <c r="M64" i="13" s="1"/>
  <c r="D123" i="3"/>
  <c r="N63" i="13" s="1"/>
  <c r="C123" i="3"/>
  <c r="D122" i="3"/>
  <c r="N62" i="13" s="1"/>
  <c r="C122" i="3"/>
  <c r="M62" i="13" s="1"/>
  <c r="D121" i="3"/>
  <c r="N61" i="13" s="1"/>
  <c r="C121" i="3"/>
  <c r="M61" i="13" s="1"/>
  <c r="D120" i="3"/>
  <c r="N60" i="13" s="1"/>
  <c r="C120" i="3"/>
  <c r="M60" i="13" s="1"/>
  <c r="D119" i="3"/>
  <c r="N59" i="13" s="1"/>
  <c r="C119" i="3"/>
  <c r="M59" i="13" s="1"/>
  <c r="D118" i="3"/>
  <c r="N58" i="13" s="1"/>
  <c r="C118" i="3"/>
  <c r="M58" i="13" s="1"/>
  <c r="D117" i="3"/>
  <c r="N57" i="13" s="1"/>
  <c r="C117" i="3"/>
  <c r="M57" i="13" s="1"/>
  <c r="D116" i="3"/>
  <c r="N56" i="13" s="1"/>
  <c r="C116" i="3"/>
  <c r="M56" i="13" s="1"/>
  <c r="D115" i="3"/>
  <c r="N55" i="13" s="1"/>
  <c r="C115" i="3"/>
  <c r="M55" i="13" s="1"/>
  <c r="D114" i="3"/>
  <c r="N54" i="13" s="1"/>
  <c r="C114" i="3"/>
  <c r="M54" i="13" s="1"/>
  <c r="D113" i="3"/>
  <c r="N53" i="13" s="1"/>
  <c r="C113" i="3"/>
  <c r="M53" i="13" s="1"/>
  <c r="D112" i="3"/>
  <c r="N52" i="13" s="1"/>
  <c r="C112" i="3"/>
  <c r="M52" i="13" s="1"/>
  <c r="D111" i="3"/>
  <c r="N51" i="13" s="1"/>
  <c r="C111" i="3"/>
  <c r="M51" i="13" s="1"/>
  <c r="D110" i="3"/>
  <c r="D109" i="3"/>
  <c r="D108" i="3"/>
  <c r="D107" i="3"/>
  <c r="D106" i="3"/>
  <c r="D271" i="2"/>
  <c r="C271" i="2"/>
  <c r="D270" i="2"/>
  <c r="C270" i="2"/>
  <c r="H81" i="13" s="1"/>
  <c r="D269" i="2"/>
  <c r="I80" i="13" s="1"/>
  <c r="C269" i="2"/>
  <c r="H80" i="13" s="1"/>
  <c r="D268" i="2"/>
  <c r="I79" i="13" s="1"/>
  <c r="C268" i="2"/>
  <c r="H79" i="13" s="1"/>
  <c r="D267" i="2"/>
  <c r="I78" i="13" s="1"/>
  <c r="C267" i="2"/>
  <c r="H78" i="13" s="1"/>
  <c r="D259" i="2"/>
  <c r="I50" i="13" s="1"/>
  <c r="C259" i="2"/>
  <c r="H50" i="13" s="1"/>
  <c r="D258" i="2"/>
  <c r="I49" i="13" s="1"/>
  <c r="C258" i="2"/>
  <c r="H49" i="13" s="1"/>
  <c r="D257" i="2"/>
  <c r="I48" i="13" s="1"/>
  <c r="C257" i="2"/>
  <c r="H48" i="13" s="1"/>
  <c r="D256" i="2"/>
  <c r="I47" i="13" s="1"/>
  <c r="C256" i="2"/>
  <c r="H47" i="13" s="1"/>
  <c r="D255" i="2"/>
  <c r="I46" i="13" s="1"/>
  <c r="C255" i="2"/>
  <c r="H46" i="13" s="1"/>
  <c r="D248" i="2"/>
  <c r="C248" i="2"/>
  <c r="D247" i="2"/>
  <c r="C247" i="2"/>
  <c r="D246" i="2"/>
  <c r="C246" i="2"/>
  <c r="D245" i="2"/>
  <c r="C245" i="2"/>
  <c r="D244" i="2"/>
  <c r="C244" i="2"/>
  <c r="D243" i="2"/>
  <c r="C243" i="2"/>
  <c r="H77" i="13" s="1"/>
  <c r="D242" i="2"/>
  <c r="I76" i="13" s="1"/>
  <c r="C242" i="2"/>
  <c r="H76" i="13" s="1"/>
  <c r="D241" i="2"/>
  <c r="C241" i="2"/>
  <c r="H75" i="13" s="1"/>
  <c r="D240" i="2"/>
  <c r="I74" i="13" s="1"/>
  <c r="C240" i="2"/>
  <c r="H74" i="13" s="1"/>
  <c r="D239" i="2"/>
  <c r="I73" i="13" s="1"/>
  <c r="C239" i="2"/>
  <c r="H73" i="13" s="1"/>
  <c r="D238" i="2"/>
  <c r="I72" i="13" s="1"/>
  <c r="C238" i="2"/>
  <c r="H72" i="13" s="1"/>
  <c r="D237" i="2"/>
  <c r="I71" i="13" s="1"/>
  <c r="C237" i="2"/>
  <c r="H71" i="13" s="1"/>
  <c r="D236" i="2"/>
  <c r="I70" i="13" s="1"/>
  <c r="C236" i="2"/>
  <c r="H70" i="13" s="1"/>
  <c r="D235" i="2"/>
  <c r="C235" i="2"/>
  <c r="H69" i="13" s="1"/>
  <c r="D234" i="2"/>
  <c r="I68" i="13" s="1"/>
  <c r="C234" i="2"/>
  <c r="H68" i="13" s="1"/>
  <c r="D233" i="2"/>
  <c r="C233" i="2"/>
  <c r="H67" i="13" s="1"/>
  <c r="D232" i="2"/>
  <c r="I66" i="13" s="1"/>
  <c r="C232" i="2"/>
  <c r="H66" i="13" s="1"/>
  <c r="D231" i="2"/>
  <c r="I65" i="13" s="1"/>
  <c r="C231" i="2"/>
  <c r="H65" i="13" s="1"/>
  <c r="D230" i="2"/>
  <c r="I64" i="13" s="1"/>
  <c r="C230" i="2"/>
  <c r="H64" i="13" s="1"/>
  <c r="D229" i="2"/>
  <c r="I63" i="13" s="1"/>
  <c r="C229" i="2"/>
  <c r="H63" i="13" s="1"/>
  <c r="D228" i="2"/>
  <c r="I62" i="13" s="1"/>
  <c r="C228" i="2"/>
  <c r="H62" i="13" s="1"/>
  <c r="D227" i="2"/>
  <c r="I61" i="13" s="1"/>
  <c r="C227" i="2"/>
  <c r="H61" i="13" s="1"/>
  <c r="D226" i="2"/>
  <c r="I60" i="13" s="1"/>
  <c r="C226" i="2"/>
  <c r="H60" i="13" s="1"/>
  <c r="D225" i="2"/>
  <c r="I59" i="13" s="1"/>
  <c r="C225" i="2"/>
  <c r="H59" i="13" s="1"/>
  <c r="D224" i="2"/>
  <c r="I58" i="13" s="1"/>
  <c r="C224" i="2"/>
  <c r="H58" i="13" s="1"/>
  <c r="D223" i="2"/>
  <c r="I57" i="13" s="1"/>
  <c r="C223" i="2"/>
  <c r="H57" i="13" s="1"/>
  <c r="D222" i="2"/>
  <c r="I56" i="13" s="1"/>
  <c r="C222" i="2"/>
  <c r="H56" i="13" s="1"/>
  <c r="D221" i="2"/>
  <c r="I55" i="13" s="1"/>
  <c r="C221" i="2"/>
  <c r="H55" i="13" s="1"/>
  <c r="D220" i="2"/>
  <c r="I54" i="13" s="1"/>
  <c r="C220" i="2"/>
  <c r="H54" i="13" s="1"/>
  <c r="D219" i="2"/>
  <c r="I53" i="13" s="1"/>
  <c r="C219" i="2"/>
  <c r="H53" i="13" s="1"/>
  <c r="D218" i="2"/>
  <c r="I52" i="13" s="1"/>
  <c r="C218" i="2"/>
  <c r="H52" i="13" s="1"/>
  <c r="D217" i="2"/>
  <c r="I51" i="13" s="1"/>
  <c r="C217" i="2"/>
  <c r="H51" i="13" s="1"/>
  <c r="D216" i="2"/>
  <c r="D215" i="2"/>
  <c r="D214" i="2"/>
  <c r="D213" i="2"/>
  <c r="D212" i="2"/>
  <c r="FB5" i="2"/>
  <c r="EX5" i="2"/>
  <c r="ET5" i="2"/>
  <c r="EP5" i="2"/>
  <c r="EL5" i="2"/>
  <c r="EJ5" i="2"/>
  <c r="EI5" i="2"/>
  <c r="EE5" i="2"/>
  <c r="EA5" i="2"/>
  <c r="DW5" i="2"/>
  <c r="DS5" i="2"/>
  <c r="DO5" i="2"/>
  <c r="DK5" i="2"/>
  <c r="DG5" i="2"/>
  <c r="DC5" i="2"/>
  <c r="CY5" i="2"/>
  <c r="CU5" i="2"/>
  <c r="CQ5" i="2"/>
  <c r="CM5" i="2"/>
  <c r="CI5" i="2"/>
  <c r="CE5" i="2"/>
  <c r="CA5" i="2"/>
  <c r="BW5" i="2"/>
  <c r="BS5" i="2"/>
  <c r="BO5" i="2"/>
  <c r="BK5" i="2"/>
  <c r="BG5" i="2"/>
  <c r="BE5" i="2"/>
  <c r="BD5" i="2"/>
  <c r="AZ5" i="2"/>
  <c r="AV5" i="2"/>
  <c r="AR5" i="2"/>
  <c r="AN5" i="2"/>
  <c r="AJ5" i="2"/>
  <c r="AF5" i="2"/>
  <c r="AB5" i="2"/>
  <c r="X5" i="2"/>
  <c r="T5" i="2"/>
  <c r="P5" i="2"/>
  <c r="L5" i="2"/>
  <c r="H5" i="2"/>
  <c r="C266" i="6"/>
  <c r="B266" i="6"/>
  <c r="C265" i="6"/>
  <c r="B265" i="6"/>
  <c r="C264" i="6"/>
  <c r="B264" i="6"/>
  <c r="C263" i="6"/>
  <c r="B263" i="6"/>
  <c r="C262" i="6"/>
  <c r="B262" i="6"/>
  <c r="C255" i="6"/>
  <c r="B255" i="6"/>
  <c r="C254" i="6"/>
  <c r="B254" i="6"/>
  <c r="C253" i="6"/>
  <c r="B253" i="6"/>
  <c r="C252" i="6"/>
  <c r="B252" i="6"/>
  <c r="C251" i="6"/>
  <c r="B251" i="6"/>
  <c r="C244" i="6"/>
  <c r="B244" i="6"/>
  <c r="C243" i="6"/>
  <c r="B243" i="6"/>
  <c r="C242" i="6"/>
  <c r="B242" i="6"/>
  <c r="C241" i="6"/>
  <c r="B241" i="6"/>
  <c r="C240" i="6"/>
  <c r="B240" i="6"/>
  <c r="C239" i="6"/>
  <c r="B239" i="6"/>
  <c r="C238" i="6"/>
  <c r="B238" i="6"/>
  <c r="C237" i="6"/>
  <c r="B237" i="6"/>
  <c r="C236" i="6"/>
  <c r="B236" i="6"/>
  <c r="C235" i="6"/>
  <c r="B235" i="6"/>
  <c r="C234" i="6"/>
  <c r="B234" i="6"/>
  <c r="C233" i="6"/>
  <c r="B233" i="6"/>
  <c r="C232" i="6"/>
  <c r="B232" i="6"/>
  <c r="C231" i="6"/>
  <c r="B231" i="6"/>
  <c r="C230" i="6"/>
  <c r="B230" i="6"/>
  <c r="C229" i="6"/>
  <c r="B229" i="6"/>
  <c r="C228" i="6"/>
  <c r="B228" i="6"/>
  <c r="C227" i="6"/>
  <c r="B227" i="6"/>
  <c r="C226" i="6"/>
  <c r="B226" i="6"/>
  <c r="C225" i="6"/>
  <c r="B225" i="6"/>
  <c r="C224" i="6"/>
  <c r="B224" i="6"/>
  <c r="C223" i="6"/>
  <c r="B223" i="6"/>
  <c r="C222" i="6"/>
  <c r="B222" i="6"/>
  <c r="C221" i="6"/>
  <c r="B221" i="6"/>
  <c r="C220" i="6"/>
  <c r="B220" i="6"/>
  <c r="C219" i="6"/>
  <c r="B219" i="6"/>
  <c r="C218" i="6"/>
  <c r="B218" i="6"/>
  <c r="C217" i="6"/>
  <c r="B217" i="6"/>
  <c r="C216" i="6"/>
  <c r="B216" i="6"/>
  <c r="C215" i="6"/>
  <c r="B215" i="6"/>
  <c r="C214" i="6"/>
  <c r="B214" i="6"/>
  <c r="C213" i="6"/>
  <c r="B213" i="6"/>
  <c r="C212" i="6"/>
  <c r="B212" i="6"/>
  <c r="C211" i="6"/>
  <c r="B211" i="6"/>
  <c r="C210" i="6"/>
  <c r="B210" i="6"/>
  <c r="C209" i="6"/>
  <c r="B209" i="6"/>
  <c r="C208" i="6"/>
  <c r="B208" i="6"/>
  <c r="D157" i="6"/>
  <c r="E155" i="6"/>
  <c r="B155" i="6"/>
  <c r="E154" i="6"/>
  <c r="B154" i="6"/>
  <c r="E153" i="6"/>
  <c r="B153" i="6"/>
  <c r="E152" i="6"/>
  <c r="B152" i="6"/>
  <c r="E151" i="6"/>
  <c r="B151" i="6"/>
  <c r="D145" i="6"/>
  <c r="E143" i="6"/>
  <c r="B143" i="6"/>
  <c r="E142" i="6"/>
  <c r="B142" i="6"/>
  <c r="E141" i="6"/>
  <c r="B141" i="6"/>
  <c r="E140" i="6"/>
  <c r="B140" i="6"/>
  <c r="E139" i="6"/>
  <c r="B139" i="6"/>
  <c r="C132" i="6"/>
  <c r="C131" i="6"/>
  <c r="C130" i="6"/>
  <c r="C129" i="6"/>
  <c r="C128" i="6"/>
  <c r="C127" i="6"/>
  <c r="B127" i="6"/>
  <c r="C126" i="6"/>
  <c r="B126" i="6"/>
  <c r="C125" i="6"/>
  <c r="B125" i="6"/>
  <c r="C124" i="6"/>
  <c r="B124" i="6"/>
  <c r="C123" i="6"/>
  <c r="B123" i="6"/>
  <c r="C122" i="6"/>
  <c r="B122" i="6"/>
  <c r="C121" i="6"/>
  <c r="B121" i="6"/>
  <c r="C120" i="6"/>
  <c r="B120" i="6"/>
  <c r="C119" i="6"/>
  <c r="B119" i="6"/>
  <c r="C118" i="6"/>
  <c r="B118" i="6"/>
  <c r="C117" i="6"/>
  <c r="B117" i="6"/>
  <c r="C116" i="6"/>
  <c r="B116" i="6"/>
  <c r="C115" i="6"/>
  <c r="B115" i="6"/>
  <c r="C114" i="6"/>
  <c r="B114" i="6"/>
  <c r="C113" i="6"/>
  <c r="B113" i="6"/>
  <c r="C112" i="6"/>
  <c r="B112" i="6"/>
  <c r="C111" i="6"/>
  <c r="B111" i="6"/>
  <c r="C110" i="6"/>
  <c r="B110" i="6"/>
  <c r="C109" i="6"/>
  <c r="B109" i="6"/>
  <c r="C108" i="6"/>
  <c r="B108" i="6"/>
  <c r="C107" i="6"/>
  <c r="B107" i="6"/>
  <c r="C106" i="6"/>
  <c r="B106" i="6"/>
  <c r="C105" i="6"/>
  <c r="B105" i="6"/>
  <c r="C104" i="6"/>
  <c r="B104" i="6"/>
  <c r="C103" i="6"/>
  <c r="B103" i="6"/>
  <c r="C102" i="6"/>
  <c r="B102" i="6"/>
  <c r="C101" i="6"/>
  <c r="B101" i="6"/>
  <c r="C100" i="6"/>
  <c r="C99" i="6"/>
  <c r="C98" i="6"/>
  <c r="C97" i="6"/>
  <c r="C96" i="6"/>
  <c r="AF82" i="13"/>
  <c r="AE82" i="13"/>
  <c r="I82" i="13"/>
  <c r="H82" i="13"/>
  <c r="I81" i="13"/>
  <c r="AF80" i="13"/>
  <c r="Z79" i="13"/>
  <c r="AF78" i="13"/>
  <c r="I77" i="13"/>
  <c r="M75" i="13"/>
  <c r="I75" i="13"/>
  <c r="AF72" i="13"/>
  <c r="Z70" i="13"/>
  <c r="M69" i="13"/>
  <c r="I69" i="13"/>
  <c r="AF68" i="13"/>
  <c r="I67" i="13"/>
  <c r="AF64" i="13"/>
  <c r="Z64" i="13"/>
  <c r="M63" i="13"/>
  <c r="AF58" i="13"/>
  <c r="N50" i="13"/>
  <c r="AF49" i="13"/>
  <c r="Z49" i="13"/>
  <c r="AF47" i="13"/>
  <c r="Z47" i="13"/>
  <c r="N46" i="13"/>
  <c r="E148" i="2"/>
  <c r="D21" i="6"/>
  <c r="E139" i="2"/>
  <c r="D58" i="5"/>
  <c r="F26" i="4"/>
  <c r="F47" i="4"/>
  <c r="E30" i="6"/>
  <c r="E46" i="6"/>
  <c r="E25" i="3"/>
  <c r="E41" i="6"/>
  <c r="E33" i="3"/>
  <c r="E15" i="6"/>
  <c r="E43" i="6"/>
  <c r="E142" i="2"/>
  <c r="E129" i="2"/>
  <c r="D30" i="5"/>
  <c r="E44" i="3"/>
  <c r="D35" i="5"/>
  <c r="F30" i="4"/>
  <c r="E156" i="2"/>
  <c r="E28" i="3"/>
  <c r="E33" i="6"/>
  <c r="F29" i="4"/>
  <c r="E149" i="2"/>
  <c r="E31" i="6"/>
  <c r="D32" i="6"/>
  <c r="E32" i="3"/>
  <c r="D56" i="5"/>
  <c r="E152" i="2"/>
  <c r="F51" i="4"/>
  <c r="F31" i="4"/>
  <c r="E45" i="6"/>
  <c r="E134" i="2"/>
  <c r="E123" i="2"/>
  <c r="E158" i="2"/>
  <c r="D15" i="6"/>
  <c r="D11" i="6"/>
  <c r="E44" i="6"/>
  <c r="E155" i="2"/>
  <c r="E23" i="3"/>
  <c r="E55" i="3"/>
  <c r="E144" i="2"/>
  <c r="F37" i="4"/>
  <c r="E58" i="3"/>
  <c r="F38" i="4"/>
  <c r="D13" i="6"/>
  <c r="E19" i="6"/>
  <c r="E31" i="3"/>
  <c r="E38" i="3"/>
  <c r="D35" i="6"/>
  <c r="D44" i="6"/>
  <c r="E50" i="3"/>
  <c r="E25" i="6"/>
  <c r="D17" i="6"/>
  <c r="D24" i="5"/>
  <c r="E34" i="3"/>
  <c r="F19" i="4"/>
  <c r="E47" i="6"/>
  <c r="F27" i="4"/>
  <c r="E59" i="3"/>
  <c r="F49" i="4"/>
  <c r="F24" i="4"/>
  <c r="E128" i="2"/>
  <c r="D48" i="5"/>
  <c r="E136" i="2"/>
  <c r="E38" i="6"/>
  <c r="E22" i="6"/>
  <c r="E132" i="2"/>
  <c r="E127" i="2"/>
  <c r="D38" i="6"/>
  <c r="F20" i="4"/>
  <c r="D12" i="6"/>
  <c r="D36" i="5"/>
  <c r="D27" i="5"/>
  <c r="D43" i="6"/>
  <c r="D45" i="5"/>
  <c r="E43" i="3"/>
  <c r="D37" i="6"/>
  <c r="E47" i="3"/>
  <c r="D52" i="5"/>
  <c r="E49" i="3"/>
  <c r="F25" i="4"/>
  <c r="D32" i="5"/>
  <c r="E126" i="2"/>
  <c r="D14" i="6"/>
  <c r="F36" i="4"/>
  <c r="F33" i="4"/>
  <c r="E159" i="2"/>
  <c r="E145" i="2"/>
  <c r="D23" i="6"/>
  <c r="E131" i="2"/>
  <c r="E37" i="3"/>
  <c r="F39" i="4"/>
  <c r="F44" i="4"/>
  <c r="F50" i="4"/>
  <c r="D26" i="5"/>
  <c r="D25" i="6"/>
  <c r="E42" i="6"/>
  <c r="D38" i="5"/>
  <c r="D16" i="6"/>
  <c r="D29" i="5"/>
  <c r="E16" i="6"/>
  <c r="D31" i="6"/>
  <c r="D27" i="6"/>
  <c r="D44" i="5"/>
  <c r="E56" i="3"/>
  <c r="D40" i="5"/>
  <c r="E42" i="3"/>
  <c r="E39" i="6"/>
  <c r="F41" i="4"/>
  <c r="D41" i="5"/>
  <c r="E27" i="3"/>
  <c r="D53" i="5"/>
  <c r="D25" i="5"/>
  <c r="E30" i="3"/>
  <c r="E34" i="6"/>
  <c r="E141" i="2"/>
  <c r="F18" i="4"/>
  <c r="E154" i="2"/>
  <c r="E54" i="3"/>
  <c r="E24" i="3"/>
  <c r="D31" i="5"/>
  <c r="E140" i="2"/>
  <c r="E29" i="6"/>
  <c r="E157" i="2"/>
  <c r="D39" i="6"/>
  <c r="E147" i="2"/>
  <c r="D20" i="6"/>
  <c r="D34" i="5"/>
  <c r="D46" i="5"/>
  <c r="F45" i="4"/>
  <c r="D46" i="6"/>
  <c r="D22" i="6"/>
  <c r="F43" i="4"/>
  <c r="D23" i="5"/>
  <c r="D54" i="5"/>
  <c r="F21" i="4"/>
  <c r="E13" i="6"/>
  <c r="D42" i="6"/>
  <c r="D42" i="5"/>
  <c r="D18" i="6"/>
  <c r="F32" i="4"/>
  <c r="D33" i="6"/>
  <c r="D51" i="5"/>
  <c r="D28" i="5"/>
  <c r="E39" i="3"/>
  <c r="D24" i="6"/>
  <c r="D49" i="5"/>
  <c r="E32" i="6"/>
  <c r="E40" i="6"/>
  <c r="E11" i="6"/>
  <c r="F46" i="4"/>
  <c r="D57" i="5"/>
  <c r="E21" i="6"/>
  <c r="D30" i="6"/>
  <c r="D36" i="6"/>
  <c r="E150" i="2"/>
  <c r="E37" i="6"/>
  <c r="F17" i="4"/>
  <c r="D40" i="6"/>
  <c r="E20" i="6"/>
  <c r="E23" i="6"/>
  <c r="E133" i="2"/>
  <c r="D55" i="5"/>
  <c r="E29" i="3"/>
  <c r="E28" i="6"/>
  <c r="E146" i="2"/>
  <c r="D33" i="5"/>
  <c r="D39" i="5"/>
  <c r="E35" i="6"/>
  <c r="E36" i="3"/>
  <c r="E130" i="2"/>
  <c r="E36" i="6"/>
  <c r="F48" i="4"/>
  <c r="E51" i="3"/>
  <c r="E45" i="3"/>
  <c r="F52" i="4"/>
  <c r="E57" i="3"/>
  <c r="D26" i="6"/>
  <c r="E40" i="3"/>
  <c r="D41" i="6"/>
  <c r="E138" i="2"/>
  <c r="E135" i="2"/>
  <c r="D43" i="5"/>
  <c r="F42" i="4"/>
  <c r="F22" i="4"/>
  <c r="D47" i="6"/>
  <c r="E26" i="6"/>
  <c r="E18" i="6"/>
  <c r="E35" i="3"/>
  <c r="E53" i="3"/>
  <c r="D34" i="6"/>
  <c r="D50" i="5"/>
  <c r="E41" i="3"/>
  <c r="D47" i="5"/>
  <c r="D45" i="6"/>
  <c r="E26" i="3"/>
  <c r="E124" i="2"/>
  <c r="E151" i="2"/>
  <c r="D19" i="6"/>
  <c r="D22" i="5"/>
  <c r="E24" i="6"/>
  <c r="E12" i="6"/>
  <c r="E27" i="6"/>
  <c r="E52" i="3"/>
  <c r="D28" i="6"/>
  <c r="F23" i="4"/>
  <c r="E143" i="2"/>
  <c r="E125" i="2"/>
  <c r="E153" i="2"/>
  <c r="F28" i="4"/>
  <c r="E46" i="3"/>
  <c r="E17" i="6"/>
  <c r="F34" i="4"/>
  <c r="D29" i="6"/>
  <c r="F53" i="4"/>
  <c r="E48" i="3"/>
  <c r="E14" i="6"/>
  <c r="F40" i="4"/>
  <c r="D37" i="5"/>
  <c r="E137" i="2"/>
  <c r="F35" i="4"/>
  <c r="F86" i="4" l="1"/>
  <c r="F129" i="4" s="1"/>
  <c r="E174" i="2"/>
  <c r="E218" i="2" s="1"/>
  <c r="D102" i="5"/>
  <c r="D168" i="5" s="1"/>
  <c r="F87" i="4"/>
  <c r="F130" i="4" s="1"/>
  <c r="E49" i="13"/>
  <c r="D171" i="6"/>
  <c r="D215" i="6" s="1"/>
  <c r="E81" i="3"/>
  <c r="E122" i="3" s="1"/>
  <c r="F65" i="4"/>
  <c r="F108" i="4" s="1"/>
  <c r="D64" i="13"/>
  <c r="D65" i="6"/>
  <c r="D108" i="6" s="1"/>
  <c r="F94" i="4"/>
  <c r="F161" i="4" s="1"/>
  <c r="D190" i="6"/>
  <c r="D234" i="6" s="1"/>
  <c r="E52" i="13"/>
  <c r="E85" i="3"/>
  <c r="E126" i="3" s="1"/>
  <c r="F67" i="4"/>
  <c r="F110" i="4" s="1"/>
  <c r="E178" i="2"/>
  <c r="E222" i="2" s="1"/>
  <c r="E201" i="2"/>
  <c r="E268" i="2" s="1"/>
  <c r="E194" i="2"/>
  <c r="E238" i="2" s="1"/>
  <c r="F85" i="4"/>
  <c r="F128" i="4" s="1"/>
  <c r="D63" i="6"/>
  <c r="D106" i="6" s="1"/>
  <c r="D63" i="13"/>
  <c r="E95" i="3"/>
  <c r="E136" i="3" s="1"/>
  <c r="D181" i="6"/>
  <c r="D225" i="6" s="1"/>
  <c r="E62" i="13"/>
  <c r="E47" i="13"/>
  <c r="D164" i="6"/>
  <c r="D251" i="6" s="1"/>
  <c r="D191" i="6"/>
  <c r="D235" i="6" s="1"/>
  <c r="E59" i="13"/>
  <c r="D84" i="5"/>
  <c r="D127" i="5" s="1"/>
  <c r="D54" i="13"/>
  <c r="D75" i="6"/>
  <c r="D118" i="6" s="1"/>
  <c r="E193" i="2"/>
  <c r="E237" i="2" s="1"/>
  <c r="E173" i="2"/>
  <c r="E217" i="2" s="1"/>
  <c r="E94" i="3"/>
  <c r="E135" i="3" s="1"/>
  <c r="D80" i="13"/>
  <c r="D89" i="6"/>
  <c r="D73" i="5"/>
  <c r="D116" i="5" s="1"/>
  <c r="E87" i="3"/>
  <c r="E128" i="3" s="1"/>
  <c r="D69" i="5"/>
  <c r="D156" i="5" s="1"/>
  <c r="D62" i="6"/>
  <c r="D105" i="6" s="1"/>
  <c r="D69" i="13"/>
  <c r="E78" i="3"/>
  <c r="E119" i="3" s="1"/>
  <c r="E67" i="3"/>
  <c r="E152" i="3" s="1"/>
  <c r="E53" i="13"/>
  <c r="D194" i="6"/>
  <c r="D238" i="6" s="1"/>
  <c r="D188" i="6"/>
  <c r="D232" i="6" s="1"/>
  <c r="E61" i="13"/>
  <c r="D82" i="13"/>
  <c r="D70" i="6"/>
  <c r="D113" i="6" s="1"/>
  <c r="F74" i="4"/>
  <c r="F117" i="4" s="1"/>
  <c r="F73" i="4"/>
  <c r="F116" i="4" s="1"/>
  <c r="D70" i="5"/>
  <c r="D157" i="5" s="1"/>
  <c r="E198" i="2"/>
  <c r="E242" i="2" s="1"/>
  <c r="E199" i="2"/>
  <c r="E243" i="2" s="1"/>
  <c r="D76" i="6"/>
  <c r="D119" i="6" s="1"/>
  <c r="D76" i="13"/>
  <c r="E92" i="3"/>
  <c r="E133" i="3" s="1"/>
  <c r="D61" i="13"/>
  <c r="D80" i="6"/>
  <c r="D123" i="6" s="1"/>
  <c r="E91" i="3"/>
  <c r="E132" i="3" s="1"/>
  <c r="F61" i="4"/>
  <c r="F147" i="4" s="1"/>
  <c r="E79" i="3"/>
  <c r="E120" i="3" s="1"/>
  <c r="E84" i="3"/>
  <c r="E125" i="3" s="1"/>
  <c r="F60" i="4"/>
  <c r="F146" i="4" s="1"/>
  <c r="D193" i="6"/>
  <c r="D237" i="6" s="1"/>
  <c r="E71" i="13"/>
  <c r="E180" i="2"/>
  <c r="E224" i="2" s="1"/>
  <c r="E70" i="3"/>
  <c r="E111" i="3" s="1"/>
  <c r="D196" i="6"/>
  <c r="D262" i="6" s="1"/>
  <c r="E70" i="13"/>
  <c r="D101" i="5"/>
  <c r="D167" i="5" s="1"/>
  <c r="D74" i="5"/>
  <c r="D117" i="5" s="1"/>
  <c r="E185" i="2"/>
  <c r="E229" i="2" s="1"/>
  <c r="D166" i="6"/>
  <c r="D253" i="6" s="1"/>
  <c r="E63" i="13"/>
  <c r="E86" i="3"/>
  <c r="E127" i="3" s="1"/>
  <c r="D97" i="5"/>
  <c r="D140" i="5" s="1"/>
  <c r="E189" i="2"/>
  <c r="E233" i="2" s="1"/>
  <c r="D180" i="6"/>
  <c r="D224" i="6" s="1"/>
  <c r="E58" i="13"/>
  <c r="D199" i="6"/>
  <c r="D265" i="6" s="1"/>
  <c r="E55" i="13"/>
  <c r="D69" i="6"/>
  <c r="D112" i="6" s="1"/>
  <c r="D75" i="13"/>
  <c r="F93" i="4"/>
  <c r="F160" i="4" s="1"/>
  <c r="E72" i="13"/>
  <c r="D172" i="6"/>
  <c r="D216" i="6" s="1"/>
  <c r="E170" i="2"/>
  <c r="E257" i="2" s="1"/>
  <c r="D71" i="13"/>
  <c r="D81" i="6"/>
  <c r="D124" i="6" s="1"/>
  <c r="D65" i="13"/>
  <c r="D73" i="6"/>
  <c r="D116" i="6" s="1"/>
  <c r="D183" i="6"/>
  <c r="D227" i="6" s="1"/>
  <c r="E56" i="13"/>
  <c r="D83" i="5"/>
  <c r="D126" i="5" s="1"/>
  <c r="F70" i="4"/>
  <c r="F113" i="4" s="1"/>
  <c r="D167" i="6"/>
  <c r="D254" i="6" s="1"/>
  <c r="E46" i="13"/>
  <c r="D185" i="6"/>
  <c r="D229" i="6" s="1"/>
  <c r="E75" i="13"/>
  <c r="E67" i="13"/>
  <c r="D174" i="6"/>
  <c r="D218" i="6" s="1"/>
  <c r="D67" i="5"/>
  <c r="D154" i="5" s="1"/>
  <c r="D59" i="13"/>
  <c r="D57" i="6"/>
  <c r="E97" i="3"/>
  <c r="E161" i="3" s="1"/>
  <c r="D95" i="5"/>
  <c r="D138" i="5" s="1"/>
  <c r="D71" i="5"/>
  <c r="D158" i="5" s="1"/>
  <c r="D68" i="13"/>
  <c r="D67" i="6"/>
  <c r="D110" i="6" s="1"/>
  <c r="F96" i="4"/>
  <c r="F163" i="4" s="1"/>
  <c r="D53" i="13"/>
  <c r="D79" i="6"/>
  <c r="D122" i="6" s="1"/>
  <c r="D93" i="5"/>
  <c r="D136" i="5" s="1"/>
  <c r="D77" i="13"/>
  <c r="D64" i="6"/>
  <c r="D107" i="6" s="1"/>
  <c r="E48" i="13"/>
  <c r="D179" i="6"/>
  <c r="D223" i="6" s="1"/>
  <c r="F80" i="4"/>
  <c r="F123" i="4" s="1"/>
  <c r="D78" i="5"/>
  <c r="D121" i="5" s="1"/>
  <c r="D90" i="5"/>
  <c r="D133" i="5" s="1"/>
  <c r="F68" i="4"/>
  <c r="F111" i="4" s="1"/>
  <c r="D78" i="6"/>
  <c r="D121" i="6" s="1"/>
  <c r="D57" i="13"/>
  <c r="D53" i="6"/>
  <c r="D81" i="13"/>
  <c r="F76" i="4"/>
  <c r="F119" i="4" s="1"/>
  <c r="D87" i="5"/>
  <c r="D130" i="5" s="1"/>
  <c r="D81" i="5"/>
  <c r="D124" i="5" s="1"/>
  <c r="D55" i="13"/>
  <c r="D82" i="6"/>
  <c r="D125" i="6" s="1"/>
  <c r="E175" i="2"/>
  <c r="E219" i="2" s="1"/>
  <c r="D74" i="13"/>
  <c r="D87" i="6"/>
  <c r="E203" i="2"/>
  <c r="E270" i="2" s="1"/>
  <c r="E64" i="13"/>
  <c r="D192" i="6"/>
  <c r="D236" i="6" s="1"/>
  <c r="E200" i="2"/>
  <c r="E267" i="2" s="1"/>
  <c r="D85" i="5"/>
  <c r="D128" i="5" s="1"/>
  <c r="E101" i="3"/>
  <c r="E165" i="3" s="1"/>
  <c r="E82" i="3"/>
  <c r="E123" i="3" s="1"/>
  <c r="E181" i="2"/>
  <c r="E225" i="2" s="1"/>
  <c r="F91" i="4"/>
  <c r="F134" i="4" s="1"/>
  <c r="E184" i="2"/>
  <c r="E228" i="2" s="1"/>
  <c r="E69" i="13"/>
  <c r="D177" i="6"/>
  <c r="D221" i="6" s="1"/>
  <c r="E99" i="3"/>
  <c r="E163" i="3" s="1"/>
  <c r="D88" i="5"/>
  <c r="D131" i="5" s="1"/>
  <c r="D76" i="5"/>
  <c r="D119" i="5" s="1"/>
  <c r="E77" i="3"/>
  <c r="E118" i="3" s="1"/>
  <c r="D80" i="5"/>
  <c r="D123" i="5" s="1"/>
  <c r="F71" i="4"/>
  <c r="F114" i="4" s="1"/>
  <c r="E74" i="13"/>
  <c r="D189" i="6"/>
  <c r="D233" i="6" s="1"/>
  <c r="E80" i="3"/>
  <c r="E121" i="3" s="1"/>
  <c r="D103" i="5"/>
  <c r="D169" i="5" s="1"/>
  <c r="E100" i="3"/>
  <c r="E164" i="3" s="1"/>
  <c r="D96" i="5"/>
  <c r="D139" i="5" s="1"/>
  <c r="D74" i="6"/>
  <c r="D117" i="6" s="1"/>
  <c r="D62" i="13"/>
  <c r="D66" i="13"/>
  <c r="D58" i="6"/>
  <c r="D101" i="6" s="1"/>
  <c r="E51" i="13"/>
  <c r="D165" i="6"/>
  <c r="D252" i="6" s="1"/>
  <c r="D98" i="5"/>
  <c r="D141" i="5" s="1"/>
  <c r="D54" i="6"/>
  <c r="D51" i="13"/>
  <c r="D92" i="5"/>
  <c r="D135" i="5" s="1"/>
  <c r="D168" i="6"/>
  <c r="D255" i="6" s="1"/>
  <c r="E77" i="13"/>
  <c r="D88" i="6"/>
  <c r="D60" i="13"/>
  <c r="D91" i="5"/>
  <c r="D134" i="5" s="1"/>
  <c r="F89" i="4"/>
  <c r="F132" i="4" s="1"/>
  <c r="F69" i="4"/>
  <c r="F112" i="4" s="1"/>
  <c r="F84" i="4"/>
  <c r="F127" i="4" s="1"/>
  <c r="E73" i="3"/>
  <c r="E114" i="3" s="1"/>
  <c r="E187" i="2"/>
  <c r="E231" i="2" s="1"/>
  <c r="D83" i="6"/>
  <c r="D126" i="6" s="1"/>
  <c r="D58" i="13"/>
  <c r="E168" i="2"/>
  <c r="E255" i="2" s="1"/>
  <c r="E195" i="2"/>
  <c r="E239" i="2" s="1"/>
  <c r="F88" i="4"/>
  <c r="F131" i="4" s="1"/>
  <c r="F72" i="4"/>
  <c r="F115" i="4" s="1"/>
  <c r="D49" i="13"/>
  <c r="D59" i="6"/>
  <c r="D102" i="6" s="1"/>
  <c r="E169" i="2"/>
  <c r="E256" i="2" s="1"/>
  <c r="D94" i="5"/>
  <c r="D137" i="5" s="1"/>
  <c r="F95" i="4"/>
  <c r="F162" i="4" s="1"/>
  <c r="E93" i="3"/>
  <c r="E134" i="3" s="1"/>
  <c r="D75" i="5"/>
  <c r="D118" i="5" s="1"/>
  <c r="E66" i="3"/>
  <c r="E151" i="3" s="1"/>
  <c r="D72" i="13"/>
  <c r="D86" i="6"/>
  <c r="E96" i="3"/>
  <c r="E137" i="3" s="1"/>
  <c r="D82" i="5"/>
  <c r="D125" i="5" s="1"/>
  <c r="D78" i="13"/>
  <c r="D77" i="6"/>
  <c r="D120" i="6" s="1"/>
  <c r="D89" i="5"/>
  <c r="D132" i="5" s="1"/>
  <c r="D77" i="5"/>
  <c r="D120" i="5" s="1"/>
  <c r="D47" i="13"/>
  <c r="D60" i="6"/>
  <c r="D103" i="6" s="1"/>
  <c r="F81" i="4"/>
  <c r="F124" i="4" s="1"/>
  <c r="D56" i="6"/>
  <c r="D73" i="13"/>
  <c r="E190" i="2"/>
  <c r="E234" i="2" s="1"/>
  <c r="E186" i="2"/>
  <c r="E230" i="2" s="1"/>
  <c r="D195" i="6"/>
  <c r="D239" i="6" s="1"/>
  <c r="E57" i="13"/>
  <c r="E73" i="13"/>
  <c r="D176" i="6"/>
  <c r="D220" i="6" s="1"/>
  <c r="E176" i="2"/>
  <c r="E220" i="2" s="1"/>
  <c r="D99" i="5"/>
  <c r="D165" i="5" s="1"/>
  <c r="E188" i="2"/>
  <c r="E232" i="2" s="1"/>
  <c r="F92" i="4"/>
  <c r="F159" i="4" s="1"/>
  <c r="F78" i="4"/>
  <c r="F121" i="4" s="1"/>
  <c r="E72" i="3"/>
  <c r="E113" i="3" s="1"/>
  <c r="F66" i="4"/>
  <c r="F109" i="4" s="1"/>
  <c r="D170" i="6"/>
  <c r="D214" i="6" s="1"/>
  <c r="E82" i="13"/>
  <c r="F75" i="4"/>
  <c r="F118" i="4" s="1"/>
  <c r="E65" i="3"/>
  <c r="E150" i="3" s="1"/>
  <c r="D79" i="5"/>
  <c r="D122" i="5" s="1"/>
  <c r="D52" i="13"/>
  <c r="D85" i="6"/>
  <c r="E60" i="13"/>
  <c r="D200" i="6"/>
  <c r="D266" i="6" s="1"/>
  <c r="E74" i="3"/>
  <c r="E115" i="3" s="1"/>
  <c r="D66" i="6"/>
  <c r="D109" i="6" s="1"/>
  <c r="D79" i="13"/>
  <c r="D84" i="6"/>
  <c r="D127" i="6" s="1"/>
  <c r="D70" i="13"/>
  <c r="E68" i="3"/>
  <c r="E153" i="3" s="1"/>
  <c r="E98" i="3"/>
  <c r="E162" i="3" s="1"/>
  <c r="E54" i="13"/>
  <c r="D197" i="6"/>
  <c r="D263" i="6" s="1"/>
  <c r="D48" i="13"/>
  <c r="D68" i="6"/>
  <c r="D111" i="6" s="1"/>
  <c r="F64" i="4"/>
  <c r="F150" i="4" s="1"/>
  <c r="E71" i="3"/>
  <c r="E112" i="3" s="1"/>
  <c r="F62" i="4"/>
  <c r="F148" i="4" s="1"/>
  <c r="E179" i="2"/>
  <c r="E223" i="2" s="1"/>
  <c r="E88" i="3"/>
  <c r="E129" i="3" s="1"/>
  <c r="E76" i="3"/>
  <c r="E117" i="3" s="1"/>
  <c r="E197" i="2"/>
  <c r="E241" i="2" s="1"/>
  <c r="D173" i="6"/>
  <c r="D217" i="6" s="1"/>
  <c r="E79" i="13"/>
  <c r="D55" i="6"/>
  <c r="D46" i="13"/>
  <c r="D50" i="13"/>
  <c r="D61" i="6"/>
  <c r="D104" i="6" s="1"/>
  <c r="E172" i="2"/>
  <c r="E259" i="2" s="1"/>
  <c r="E204" i="2"/>
  <c r="E271" i="2" s="1"/>
  <c r="E182" i="2"/>
  <c r="E226" i="2" s="1"/>
  <c r="E80" i="13"/>
  <c r="D186" i="6"/>
  <c r="D230" i="6" s="1"/>
  <c r="F83" i="4"/>
  <c r="F126" i="4" s="1"/>
  <c r="F79" i="4"/>
  <c r="F122" i="4" s="1"/>
  <c r="E177" i="2"/>
  <c r="E221" i="2" s="1"/>
  <c r="D86" i="5"/>
  <c r="D129" i="5" s="1"/>
  <c r="E75" i="3"/>
  <c r="E116" i="3" s="1"/>
  <c r="D67" i="13"/>
  <c r="D71" i="6"/>
  <c r="D114" i="6" s="1"/>
  <c r="E66" i="13"/>
  <c r="D187" i="6"/>
  <c r="D231" i="6" s="1"/>
  <c r="E191" i="2"/>
  <c r="E235" i="2" s="1"/>
  <c r="F82" i="4"/>
  <c r="F125" i="4" s="1"/>
  <c r="D178" i="6"/>
  <c r="D222" i="6" s="1"/>
  <c r="E68" i="13"/>
  <c r="E83" i="3"/>
  <c r="E124" i="3" s="1"/>
  <c r="E171" i="2"/>
  <c r="E258" i="2" s="1"/>
  <c r="F77" i="4"/>
  <c r="F120" i="4" s="1"/>
  <c r="D72" i="5"/>
  <c r="D115" i="5" s="1"/>
  <c r="E69" i="3"/>
  <c r="E154" i="3" s="1"/>
  <c r="D100" i="5"/>
  <c r="D166" i="5" s="1"/>
  <c r="E202" i="2"/>
  <c r="E269" i="2" s="1"/>
  <c r="E192" i="2"/>
  <c r="E236" i="2" s="1"/>
  <c r="E78" i="13"/>
  <c r="D198" i="6"/>
  <c r="D264" i="6" s="1"/>
  <c r="E50" i="13"/>
  <c r="D169" i="6"/>
  <c r="D213" i="6" s="1"/>
  <c r="E90" i="3"/>
  <c r="E131" i="3" s="1"/>
  <c r="D175" i="6"/>
  <c r="D219" i="6" s="1"/>
  <c r="E76" i="13"/>
  <c r="E89" i="3"/>
  <c r="E130" i="3" s="1"/>
  <c r="E81" i="13"/>
  <c r="D182" i="6"/>
  <c r="D226" i="6" s="1"/>
  <c r="D184" i="6"/>
  <c r="D228" i="6" s="1"/>
  <c r="E65" i="13"/>
  <c r="F63" i="4"/>
  <c r="F149" i="4" s="1"/>
  <c r="F90" i="4"/>
  <c r="F133" i="4" s="1"/>
  <c r="D68" i="5"/>
  <c r="D155" i="5" s="1"/>
  <c r="E196" i="2"/>
  <c r="E240" i="2" s="1"/>
  <c r="D56" i="13"/>
  <c r="D72" i="6"/>
  <c r="D115" i="6" s="1"/>
  <c r="E183" i="2"/>
  <c r="E227" i="2" s="1"/>
  <c r="D246" i="6" l="1"/>
  <c r="E235" i="6" s="1"/>
  <c r="D149" i="5"/>
  <c r="E131" i="5" s="1"/>
  <c r="F131" i="5" s="1"/>
  <c r="G131" i="5" s="1"/>
  <c r="AG67" i="13" s="1"/>
  <c r="AN48" i="13" s="1"/>
  <c r="D171" i="5"/>
  <c r="E169" i="5" s="1"/>
  <c r="F169" i="5" s="1"/>
  <c r="G169" i="5" s="1"/>
  <c r="AG82" i="13" s="1"/>
  <c r="AN63" i="13" s="1"/>
  <c r="E261" i="2"/>
  <c r="F255" i="2" s="1"/>
  <c r="G255" i="2" s="1"/>
  <c r="J46" i="13" s="1"/>
  <c r="T67" i="13" s="1"/>
  <c r="E144" i="3"/>
  <c r="F122" i="3" s="1"/>
  <c r="G122" i="3" s="1"/>
  <c r="O62" i="13" s="1"/>
  <c r="U70" i="13" s="1"/>
  <c r="F152" i="4"/>
  <c r="G150" i="4" s="1"/>
  <c r="H150" i="4" s="1"/>
  <c r="I150" i="4" s="1"/>
  <c r="AA50" i="13" s="1"/>
  <c r="AM66" i="13" s="1"/>
  <c r="E214" i="6"/>
  <c r="E119" i="6"/>
  <c r="E120" i="6"/>
  <c r="F231" i="2"/>
  <c r="G231" i="2" s="1"/>
  <c r="J65" i="13" s="1"/>
  <c r="T53" i="13" s="1"/>
  <c r="D134" i="6"/>
  <c r="E109" i="6" s="1"/>
  <c r="E139" i="5"/>
  <c r="F139" i="5" s="1"/>
  <c r="G139" i="5" s="1"/>
  <c r="AG75" i="13" s="1"/>
  <c r="AN67" i="13" s="1"/>
  <c r="E233" i="6"/>
  <c r="E273" i="2"/>
  <c r="F271" i="2" s="1"/>
  <c r="E223" i="6"/>
  <c r="E110" i="6"/>
  <c r="E167" i="3"/>
  <c r="F165" i="3" s="1"/>
  <c r="G165" i="3" s="1"/>
  <c r="O82" i="13" s="1"/>
  <c r="U46" i="13" s="1"/>
  <c r="E124" i="6"/>
  <c r="F233" i="2"/>
  <c r="G233" i="2" s="1"/>
  <c r="J67" i="13" s="1"/>
  <c r="T55" i="13" s="1"/>
  <c r="D257" i="6"/>
  <c r="E255" i="6" s="1"/>
  <c r="E219" i="6"/>
  <c r="E104" i="6"/>
  <c r="F141" i="4"/>
  <c r="G131" i="4" s="1"/>
  <c r="H131" i="4" s="1"/>
  <c r="I131" i="4" s="1"/>
  <c r="AA74" i="13" s="1"/>
  <c r="AM61" i="13" s="1"/>
  <c r="D160" i="5"/>
  <c r="E158" i="5" s="1"/>
  <c r="F158" i="5" s="1"/>
  <c r="G158" i="5" s="1"/>
  <c r="AG50" i="13" s="1"/>
  <c r="AN74" i="13" s="1"/>
  <c r="E167" i="5"/>
  <c r="F167" i="5" s="1"/>
  <c r="G167" i="5" s="1"/>
  <c r="AG80" i="13" s="1"/>
  <c r="AN62" i="13" s="1"/>
  <c r="E123" i="6"/>
  <c r="E156" i="3"/>
  <c r="F152" i="3" s="1"/>
  <c r="G152" i="3" s="1"/>
  <c r="O48" i="13" s="1"/>
  <c r="U57" i="13" s="1"/>
  <c r="F150" i="3"/>
  <c r="G150" i="3" s="1"/>
  <c r="O46" i="13" s="1"/>
  <c r="U56" i="13" s="1"/>
  <c r="E103" i="6"/>
  <c r="F165" i="4"/>
  <c r="G159" i="4" s="1"/>
  <c r="H159" i="4" s="1"/>
  <c r="I159" i="4" s="1"/>
  <c r="AA78" i="13" s="1"/>
  <c r="AM52" i="13" s="1"/>
  <c r="G162" i="4"/>
  <c r="H162" i="4" s="1"/>
  <c r="I162" i="4" s="1"/>
  <c r="AA81" i="13" s="1"/>
  <c r="AM53" i="13" s="1"/>
  <c r="G160" i="4"/>
  <c r="H160" i="4" s="1"/>
  <c r="I160" i="4" s="1"/>
  <c r="AA79" i="13" s="1"/>
  <c r="AM45" i="13" s="1"/>
  <c r="D268" i="6"/>
  <c r="E265" i="6" s="1"/>
  <c r="G147" i="4"/>
  <c r="H147" i="4" s="1"/>
  <c r="I147" i="4" s="1"/>
  <c r="AA47" i="13" s="1"/>
  <c r="AM80" i="13" s="1"/>
  <c r="E113" i="6"/>
  <c r="E250" i="2"/>
  <c r="F229" i="2" s="1"/>
  <c r="G229" i="2" s="1"/>
  <c r="J63" i="13" s="1"/>
  <c r="T68" i="13" s="1"/>
  <c r="F217" i="2"/>
  <c r="G217" i="2" s="1"/>
  <c r="J51" i="13" s="1"/>
  <c r="T46" i="13" s="1"/>
  <c r="E127" i="5"/>
  <c r="F127" i="5" s="1"/>
  <c r="G127" i="5" s="1"/>
  <c r="AG63" i="13" s="1"/>
  <c r="AN45" i="13" s="1"/>
  <c r="E215" i="6" l="1"/>
  <c r="F119" i="3"/>
  <c r="G119" i="3" s="1"/>
  <c r="O59" i="13" s="1"/>
  <c r="U75" i="13" s="1"/>
  <c r="F240" i="2"/>
  <c r="G240" i="2" s="1"/>
  <c r="J74" i="13" s="1"/>
  <c r="T61" i="13" s="1"/>
  <c r="E227" i="6"/>
  <c r="F116" i="3"/>
  <c r="G116" i="3" s="1"/>
  <c r="O56" i="13" s="1"/>
  <c r="U54" i="13" s="1"/>
  <c r="F235" i="2"/>
  <c r="G235" i="2" s="1"/>
  <c r="J69" i="13" s="1"/>
  <c r="T71" i="13" s="1"/>
  <c r="E108" i="6"/>
  <c r="E232" i="6"/>
  <c r="F225" i="2"/>
  <c r="G225" i="2" s="1"/>
  <c r="J59" i="13" s="1"/>
  <c r="T76" i="13" s="1"/>
  <c r="E101" i="6"/>
  <c r="G149" i="4"/>
  <c r="H149" i="4" s="1"/>
  <c r="I149" i="4" s="1"/>
  <c r="AA49" i="13" s="1"/>
  <c r="AM75" i="13" s="1"/>
  <c r="E125" i="6"/>
  <c r="E157" i="5"/>
  <c r="F157" i="5" s="1"/>
  <c r="G157" i="5" s="1"/>
  <c r="AG49" i="13" s="1"/>
  <c r="AN66" i="13" s="1"/>
  <c r="E135" i="5"/>
  <c r="F135" i="5" s="1"/>
  <c r="G135" i="5" s="1"/>
  <c r="AG71" i="13" s="1"/>
  <c r="AN61" i="13" s="1"/>
  <c r="AO61" i="13" s="1"/>
  <c r="AV62" i="13" s="1"/>
  <c r="E231" i="6"/>
  <c r="E111" i="6"/>
  <c r="E229" i="6"/>
  <c r="E234" i="6"/>
  <c r="F219" i="2"/>
  <c r="G219" i="2" s="1"/>
  <c r="J53" i="13" s="1"/>
  <c r="T69" i="13" s="1"/>
  <c r="F123" i="3"/>
  <c r="G123" i="3" s="1"/>
  <c r="O63" i="13" s="1"/>
  <c r="U76" i="13" s="1"/>
  <c r="F136" i="3"/>
  <c r="G136" i="3" s="1"/>
  <c r="O76" i="13" s="1"/>
  <c r="U74" i="13" s="1"/>
  <c r="E253" i="6"/>
  <c r="E221" i="6"/>
  <c r="E225" i="6"/>
  <c r="E126" i="6"/>
  <c r="E228" i="6"/>
  <c r="G163" i="4"/>
  <c r="H163" i="4" s="1"/>
  <c r="I163" i="4" s="1"/>
  <c r="AA82" i="13" s="1"/>
  <c r="AM60" i="13" s="1"/>
  <c r="F115" i="3"/>
  <c r="G115" i="3" s="1"/>
  <c r="O55" i="13" s="1"/>
  <c r="U72" i="13" s="1"/>
  <c r="G120" i="4"/>
  <c r="H120" i="4" s="1"/>
  <c r="I120" i="4" s="1"/>
  <c r="AA63" i="13" s="1"/>
  <c r="AM58" i="13" s="1"/>
  <c r="F114" i="3"/>
  <c r="G114" i="3" s="1"/>
  <c r="O54" i="13" s="1"/>
  <c r="U59" i="13" s="1"/>
  <c r="F133" i="3"/>
  <c r="G133" i="3" s="1"/>
  <c r="O73" i="13" s="1"/>
  <c r="U62" i="13" s="1"/>
  <c r="F131" i="3"/>
  <c r="G131" i="3" s="1"/>
  <c r="O71" i="13" s="1"/>
  <c r="U55" i="13" s="1"/>
  <c r="V55" i="13" s="1"/>
  <c r="AU56" i="13" s="1"/>
  <c r="F121" i="3"/>
  <c r="G121" i="3" s="1"/>
  <c r="O61" i="13" s="1"/>
  <c r="U64" i="13" s="1"/>
  <c r="V76" i="13"/>
  <c r="AU77" i="13" s="1"/>
  <c r="G130" i="4"/>
  <c r="H130" i="4" s="1"/>
  <c r="I130" i="4" s="1"/>
  <c r="AA73" i="13" s="1"/>
  <c r="AM68" i="13" s="1"/>
  <c r="AO68" i="13" s="1"/>
  <c r="AV69" i="13" s="1"/>
  <c r="F132" i="3"/>
  <c r="G132" i="3" s="1"/>
  <c r="O72" i="13" s="1"/>
  <c r="U79" i="13" s="1"/>
  <c r="F127" i="3"/>
  <c r="G127" i="3" s="1"/>
  <c r="O67" i="13" s="1"/>
  <c r="U51" i="13" s="1"/>
  <c r="F117" i="3"/>
  <c r="G117" i="3" s="1"/>
  <c r="O57" i="13" s="1"/>
  <c r="U45" i="13" s="1"/>
  <c r="V67" i="13"/>
  <c r="AU68" i="13" s="1"/>
  <c r="BA68" i="13" s="1"/>
  <c r="EN10" i="13" s="1"/>
  <c r="G125" i="4"/>
  <c r="H125" i="4" s="1"/>
  <c r="I125" i="4" s="1"/>
  <c r="AA68" i="13" s="1"/>
  <c r="AM57" i="13" s="1"/>
  <c r="G129" i="4"/>
  <c r="H129" i="4" s="1"/>
  <c r="I129" i="4" s="1"/>
  <c r="AA72" i="13" s="1"/>
  <c r="AM63" i="13" s="1"/>
  <c r="G128" i="4"/>
  <c r="H128" i="4" s="1"/>
  <c r="I128" i="4" s="1"/>
  <c r="AA71" i="13" s="1"/>
  <c r="AM51" i="13" s="1"/>
  <c r="E154" i="5"/>
  <c r="F154" i="5" s="1"/>
  <c r="G154" i="5" s="1"/>
  <c r="AG46" i="13" s="1"/>
  <c r="AN72" i="13" s="1"/>
  <c r="G112" i="4"/>
  <c r="H112" i="4" s="1"/>
  <c r="I112" i="4" s="1"/>
  <c r="AA55" i="13" s="1"/>
  <c r="AM72" i="13" s="1"/>
  <c r="F135" i="3"/>
  <c r="G135" i="3" s="1"/>
  <c r="O75" i="13" s="1"/>
  <c r="U48" i="13" s="1"/>
  <c r="G117" i="4"/>
  <c r="H117" i="4" s="1"/>
  <c r="I117" i="4" s="1"/>
  <c r="AA60" i="13" s="1"/>
  <c r="AM50" i="13" s="1"/>
  <c r="G109" i="4"/>
  <c r="H109" i="4" s="1"/>
  <c r="I109" i="4" s="1"/>
  <c r="AA52" i="13" s="1"/>
  <c r="AM55" i="13" s="1"/>
  <c r="AO55" i="13" s="1"/>
  <c r="AV56" i="13" s="1"/>
  <c r="F257" i="2"/>
  <c r="G257" i="2" s="1"/>
  <c r="J48" i="13" s="1"/>
  <c r="T72" i="13" s="1"/>
  <c r="E137" i="5"/>
  <c r="F137" i="5" s="1"/>
  <c r="G137" i="5" s="1"/>
  <c r="AG73" i="13" s="1"/>
  <c r="AN55" i="13" s="1"/>
  <c r="F259" i="2"/>
  <c r="G259" i="2" s="1"/>
  <c r="J50" i="13" s="1"/>
  <c r="T80" i="13" s="1"/>
  <c r="F227" i="2"/>
  <c r="G227" i="2" s="1"/>
  <c r="J61" i="13" s="1"/>
  <c r="T70" i="13" s="1"/>
  <c r="V70" i="13" s="1"/>
  <c r="AU71" i="13" s="1"/>
  <c r="E156" i="5"/>
  <c r="F156" i="5" s="1"/>
  <c r="G156" i="5" s="1"/>
  <c r="AG48" i="13" s="1"/>
  <c r="AN73" i="13" s="1"/>
  <c r="F268" i="2"/>
  <c r="E238" i="6"/>
  <c r="E237" i="6"/>
  <c r="E254" i="6"/>
  <c r="G118" i="4"/>
  <c r="H118" i="4" s="1"/>
  <c r="I118" i="4" s="1"/>
  <c r="AA61" i="13" s="1"/>
  <c r="AM47" i="13" s="1"/>
  <c r="G119" i="4"/>
  <c r="H119" i="4" s="1"/>
  <c r="I119" i="4" s="1"/>
  <c r="AA62" i="13" s="1"/>
  <c r="AM73" i="13" s="1"/>
  <c r="AO73" i="13" s="1"/>
  <c r="AV74" i="13" s="1"/>
  <c r="F126" i="3"/>
  <c r="G126" i="3" s="1"/>
  <c r="O66" i="13" s="1"/>
  <c r="U68" i="13" s="1"/>
  <c r="V68" i="13" s="1"/>
  <c r="AU69" i="13" s="1"/>
  <c r="F128" i="3"/>
  <c r="G128" i="3" s="1"/>
  <c r="O68" i="13" s="1"/>
  <c r="U63" i="13" s="1"/>
  <c r="F120" i="3"/>
  <c r="G120" i="3" s="1"/>
  <c r="O60" i="13" s="1"/>
  <c r="U67" i="13" s="1"/>
  <c r="E218" i="6"/>
  <c r="G111" i="4"/>
  <c r="H111" i="4" s="1"/>
  <c r="I111" i="4" s="1"/>
  <c r="AA54" i="13" s="1"/>
  <c r="AM71" i="13" s="1"/>
  <c r="F118" i="3"/>
  <c r="G118" i="3" s="1"/>
  <c r="O58" i="13" s="1"/>
  <c r="U49" i="13" s="1"/>
  <c r="F124" i="3"/>
  <c r="G124" i="3" s="1"/>
  <c r="O64" i="13" s="1"/>
  <c r="U50" i="13" s="1"/>
  <c r="E112" i="6"/>
  <c r="F137" i="3"/>
  <c r="G137" i="3" s="1"/>
  <c r="O77" i="13" s="1"/>
  <c r="U65" i="13" s="1"/>
  <c r="E106" i="6"/>
  <c r="F111" i="3"/>
  <c r="G111" i="3" s="1"/>
  <c r="O51" i="13" s="1"/>
  <c r="U58" i="13" s="1"/>
  <c r="E107" i="6"/>
  <c r="E239" i="6"/>
  <c r="E222" i="6"/>
  <c r="E236" i="6"/>
  <c r="F241" i="2"/>
  <c r="G241" i="2" s="1"/>
  <c r="J75" i="13" s="1"/>
  <c r="T77" i="13" s="1"/>
  <c r="F130" i="3"/>
  <c r="G130" i="3" s="1"/>
  <c r="O70" i="13" s="1"/>
  <c r="U47" i="13" s="1"/>
  <c r="E224" i="6"/>
  <c r="V46" i="13"/>
  <c r="AU47" i="13" s="1"/>
  <c r="E140" i="5"/>
  <c r="F140" i="5" s="1"/>
  <c r="G140" i="5" s="1"/>
  <c r="AG76" i="13" s="1"/>
  <c r="AN78" i="13" s="1"/>
  <c r="G134" i="4"/>
  <c r="H134" i="4" s="1"/>
  <c r="I134" i="4" s="1"/>
  <c r="AA77" i="13" s="1"/>
  <c r="AM46" i="13" s="1"/>
  <c r="F256" i="2"/>
  <c r="G256" i="2" s="1"/>
  <c r="J47" i="13" s="1"/>
  <c r="T48" i="13" s="1"/>
  <c r="V48" i="13" s="1"/>
  <c r="AU49" i="13" s="1"/>
  <c r="F258" i="2"/>
  <c r="G258" i="2" s="1"/>
  <c r="J49" i="13" s="1"/>
  <c r="T78" i="13" s="1"/>
  <c r="E251" i="6"/>
  <c r="F243" i="2"/>
  <c r="G243" i="2" s="1"/>
  <c r="J77" i="13" s="1"/>
  <c r="T60" i="13" s="1"/>
  <c r="F239" i="2"/>
  <c r="G239" i="2" s="1"/>
  <c r="J73" i="13" s="1"/>
  <c r="T81" i="13" s="1"/>
  <c r="F223" i="2"/>
  <c r="G223" i="2" s="1"/>
  <c r="J57" i="13" s="1"/>
  <c r="T66" i="13" s="1"/>
  <c r="G161" i="4"/>
  <c r="H161" i="4" s="1"/>
  <c r="I161" i="4" s="1"/>
  <c r="AA80" i="13" s="1"/>
  <c r="AM62" i="13" s="1"/>
  <c r="AO62" i="13" s="1"/>
  <c r="AV63" i="13" s="1"/>
  <c r="F221" i="2"/>
  <c r="G221" i="2" s="1"/>
  <c r="J55" i="13" s="1"/>
  <c r="T74" i="13" s="1"/>
  <c r="V74" i="13" s="1"/>
  <c r="AU75" i="13" s="1"/>
  <c r="G108" i="4"/>
  <c r="H108" i="4" s="1"/>
  <c r="I108" i="4" s="1"/>
  <c r="AA51" i="13" s="1"/>
  <c r="AM81" i="13" s="1"/>
  <c r="F237" i="2"/>
  <c r="G237" i="2" s="1"/>
  <c r="J71" i="13" s="1"/>
  <c r="T73" i="13" s="1"/>
  <c r="E116" i="6"/>
  <c r="E121" i="5"/>
  <c r="F121" i="5" s="1"/>
  <c r="G121" i="5" s="1"/>
  <c r="AG57" i="13" s="1"/>
  <c r="AN77" i="13" s="1"/>
  <c r="F228" i="2"/>
  <c r="G228" i="2" s="1"/>
  <c r="J62" i="13" s="1"/>
  <c r="T63" i="13" s="1"/>
  <c r="V63" i="13" s="1"/>
  <c r="AU64" i="13" s="1"/>
  <c r="G127" i="4"/>
  <c r="H127" i="4" s="1"/>
  <c r="I127" i="4" s="1"/>
  <c r="AA70" i="13" s="1"/>
  <c r="AM67" i="13" s="1"/>
  <c r="AO67" i="13" s="1"/>
  <c r="AV68" i="13" s="1"/>
  <c r="F151" i="3"/>
  <c r="G151" i="3" s="1"/>
  <c r="O47" i="13" s="1"/>
  <c r="U69" i="13" s="1"/>
  <c r="F220" i="2"/>
  <c r="G220" i="2" s="1"/>
  <c r="J54" i="13" s="1"/>
  <c r="T58" i="13" s="1"/>
  <c r="E263" i="6"/>
  <c r="E230" i="6"/>
  <c r="F269" i="2"/>
  <c r="E122" i="6"/>
  <c r="E119" i="5"/>
  <c r="F119" i="5" s="1"/>
  <c r="G119" i="5" s="1"/>
  <c r="AG55" i="13" s="1"/>
  <c r="AN76" i="13" s="1"/>
  <c r="F113" i="3"/>
  <c r="G113" i="3" s="1"/>
  <c r="O53" i="13" s="1"/>
  <c r="U81" i="13" s="1"/>
  <c r="G126" i="4"/>
  <c r="H126" i="4" s="1"/>
  <c r="I126" i="4" s="1"/>
  <c r="AA69" i="13" s="1"/>
  <c r="AM59" i="13" s="1"/>
  <c r="E213" i="6"/>
  <c r="F134" i="3"/>
  <c r="G134" i="3" s="1"/>
  <c r="O74" i="13" s="1"/>
  <c r="U71" i="13" s="1"/>
  <c r="V71" i="13" s="1"/>
  <c r="AU72" i="13" s="1"/>
  <c r="E217" i="6"/>
  <c r="E168" i="5"/>
  <c r="F168" i="5" s="1"/>
  <c r="G168" i="5" s="1"/>
  <c r="AG81" i="13" s="1"/>
  <c r="AN60" i="13" s="1"/>
  <c r="G116" i="4"/>
  <c r="H116" i="4" s="1"/>
  <c r="I116" i="4" s="1"/>
  <c r="AA59" i="13" s="1"/>
  <c r="AM70" i="13" s="1"/>
  <c r="E216" i="6"/>
  <c r="E121" i="6"/>
  <c r="E117" i="6"/>
  <c r="E132" i="5"/>
  <c r="F132" i="5" s="1"/>
  <c r="G132" i="5" s="1"/>
  <c r="AG68" i="13" s="1"/>
  <c r="AN50" i="13" s="1"/>
  <c r="AO50" i="13" s="1"/>
  <c r="AV51" i="13" s="1"/>
  <c r="E127" i="6"/>
  <c r="E264" i="6"/>
  <c r="E123" i="5"/>
  <c r="F123" i="5" s="1"/>
  <c r="G123" i="5" s="1"/>
  <c r="AG59" i="13" s="1"/>
  <c r="AN64" i="13" s="1"/>
  <c r="E266" i="6"/>
  <c r="F230" i="2"/>
  <c r="G230" i="2" s="1"/>
  <c r="J64" i="13" s="1"/>
  <c r="T54" i="13" s="1"/>
  <c r="V54" i="13" s="1"/>
  <c r="AU55" i="13" s="1"/>
  <c r="E136" i="5"/>
  <c r="F136" i="5" s="1"/>
  <c r="G136" i="5" s="1"/>
  <c r="AG72" i="13" s="1"/>
  <c r="AN65" i="13" s="1"/>
  <c r="F267" i="2"/>
  <c r="G267" i="2" s="1"/>
  <c r="J78" i="13" s="1"/>
  <c r="T62" i="13" s="1"/>
  <c r="V62" i="13" s="1"/>
  <c r="AU63" i="13" s="1"/>
  <c r="E102" i="6"/>
  <c r="F226" i="2"/>
  <c r="G226" i="2" s="1"/>
  <c r="J60" i="13" s="1"/>
  <c r="T56" i="13" s="1"/>
  <c r="V56" i="13" s="1"/>
  <c r="AU57" i="13" s="1"/>
  <c r="G123" i="4"/>
  <c r="H123" i="4" s="1"/>
  <c r="I123" i="4" s="1"/>
  <c r="AA66" i="13" s="1"/>
  <c r="AM49" i="13" s="1"/>
  <c r="E166" i="5"/>
  <c r="F166" i="5" s="1"/>
  <c r="G166" i="5" s="1"/>
  <c r="AG79" i="13" s="1"/>
  <c r="AN53" i="13" s="1"/>
  <c r="AO53" i="13" s="1"/>
  <c r="AV54" i="13" s="1"/>
  <c r="E105" i="6"/>
  <c r="G146" i="4"/>
  <c r="H146" i="4" s="1"/>
  <c r="I146" i="4" s="1"/>
  <c r="AA46" i="13" s="1"/>
  <c r="AM76" i="13" s="1"/>
  <c r="E117" i="5"/>
  <c r="F117" i="5" s="1"/>
  <c r="G117" i="5" s="1"/>
  <c r="AG53" i="13" s="1"/>
  <c r="AN56" i="13" s="1"/>
  <c r="G113" i="4"/>
  <c r="H113" i="4" s="1"/>
  <c r="I113" i="4" s="1"/>
  <c r="AA56" i="13" s="1"/>
  <c r="AM74" i="13" s="1"/>
  <c r="AO74" i="13" s="1"/>
  <c r="AV75" i="13" s="1"/>
  <c r="G114" i="4"/>
  <c r="H114" i="4" s="1"/>
  <c r="I114" i="4" s="1"/>
  <c r="AA57" i="13" s="1"/>
  <c r="AM69" i="13" s="1"/>
  <c r="E125" i="5"/>
  <c r="F125" i="5" s="1"/>
  <c r="G125" i="5" s="1"/>
  <c r="AG61" i="13" s="1"/>
  <c r="AN68" i="13" s="1"/>
  <c r="G121" i="4"/>
  <c r="H121" i="4" s="1"/>
  <c r="I121" i="4" s="1"/>
  <c r="AA64" i="13" s="1"/>
  <c r="AM77" i="13" s="1"/>
  <c r="F112" i="3"/>
  <c r="G112" i="3" s="1"/>
  <c r="O52" i="13" s="1"/>
  <c r="U80" i="13" s="1"/>
  <c r="V80" i="13" s="1"/>
  <c r="AU81" i="13" s="1"/>
  <c r="E129" i="5"/>
  <c r="F129" i="5" s="1"/>
  <c r="G129" i="5" s="1"/>
  <c r="AG65" i="13" s="1"/>
  <c r="AN79" i="13" s="1"/>
  <c r="E133" i="5"/>
  <c r="F133" i="5" s="1"/>
  <c r="G133" i="5" s="1"/>
  <c r="AG69" i="13" s="1"/>
  <c r="AN46" i="13" s="1"/>
  <c r="E141" i="5"/>
  <c r="F141" i="5" s="1"/>
  <c r="G141" i="5" s="1"/>
  <c r="AG77" i="13" s="1"/>
  <c r="AN52" i="13" s="1"/>
  <c r="AO52" i="13" s="1"/>
  <c r="AV53" i="13" s="1"/>
  <c r="F153" i="3"/>
  <c r="G153" i="3" s="1"/>
  <c r="O49" i="13" s="1"/>
  <c r="U60" i="13" s="1"/>
  <c r="F234" i="2"/>
  <c r="G234" i="2" s="1"/>
  <c r="J68" i="13" s="1"/>
  <c r="T49" i="13" s="1"/>
  <c r="V49" i="13" s="1"/>
  <c r="AU50" i="13" s="1"/>
  <c r="G122" i="4"/>
  <c r="H122" i="4" s="1"/>
  <c r="I122" i="4" s="1"/>
  <c r="AA65" i="13" s="1"/>
  <c r="AM79" i="13" s="1"/>
  <c r="G110" i="4"/>
  <c r="H110" i="4" s="1"/>
  <c r="I110" i="4" s="1"/>
  <c r="AA53" i="13" s="1"/>
  <c r="AM56" i="13" s="1"/>
  <c r="AO56" i="13" s="1"/>
  <c r="AV57" i="13" s="1"/>
  <c r="F125" i="3"/>
  <c r="G125" i="3" s="1"/>
  <c r="O65" i="13" s="1"/>
  <c r="U73" i="13" s="1"/>
  <c r="E126" i="5"/>
  <c r="F126" i="5" s="1"/>
  <c r="G126" i="5" s="1"/>
  <c r="AG62" i="13" s="1"/>
  <c r="AN80" i="13" s="1"/>
  <c r="AO80" i="13" s="1"/>
  <c r="AV81" i="13" s="1"/>
  <c r="F270" i="2"/>
  <c r="E220" i="6"/>
  <c r="F129" i="3"/>
  <c r="G129" i="3" s="1"/>
  <c r="O69" i="13" s="1"/>
  <c r="U77" i="13" s="1"/>
  <c r="V77" i="13" s="1"/>
  <c r="AU78" i="13" s="1"/>
  <c r="E226" i="6"/>
  <c r="F163" i="3"/>
  <c r="G163" i="3" s="1"/>
  <c r="O80" i="13" s="1"/>
  <c r="U52" i="13" s="1"/>
  <c r="E118" i="5"/>
  <c r="F118" i="5" s="1"/>
  <c r="G118" i="5" s="1"/>
  <c r="AG54" i="13" s="1"/>
  <c r="AN75" i="13" s="1"/>
  <c r="AO63" i="13"/>
  <c r="AV64" i="13" s="1"/>
  <c r="AO45" i="13"/>
  <c r="AV46" i="13" s="1"/>
  <c r="F164" i="3"/>
  <c r="G164" i="3" s="1"/>
  <c r="O81" i="13" s="1"/>
  <c r="U78" i="13" s="1"/>
  <c r="F236" i="2"/>
  <c r="G236" i="2" s="1"/>
  <c r="J70" i="13" s="1"/>
  <c r="T64" i="13" s="1"/>
  <c r="F162" i="3"/>
  <c r="G162" i="3" s="1"/>
  <c r="O79" i="13" s="1"/>
  <c r="U53" i="13" s="1"/>
  <c r="V53" i="13" s="1"/>
  <c r="AU54" i="13" s="1"/>
  <c r="BA54" i="13" s="1"/>
  <c r="BU14" i="13" s="1"/>
  <c r="E116" i="5"/>
  <c r="F116" i="5" s="1"/>
  <c r="G116" i="5" s="1"/>
  <c r="AG52" i="13" s="1"/>
  <c r="AN70" i="13" s="1"/>
  <c r="F242" i="2"/>
  <c r="G242" i="2" s="1"/>
  <c r="J76" i="13" s="1"/>
  <c r="T57" i="13" s="1"/>
  <c r="V57" i="13" s="1"/>
  <c r="AU58" i="13" s="1"/>
  <c r="E262" i="6"/>
  <c r="E134" i="5"/>
  <c r="F134" i="5" s="1"/>
  <c r="G134" i="5" s="1"/>
  <c r="AG70" i="13" s="1"/>
  <c r="AN49" i="13" s="1"/>
  <c r="E122" i="5"/>
  <c r="F122" i="5" s="1"/>
  <c r="G122" i="5" s="1"/>
  <c r="AG58" i="13" s="1"/>
  <c r="AN47" i="13" s="1"/>
  <c r="F218" i="2"/>
  <c r="G218" i="2" s="1"/>
  <c r="J52" i="13" s="1"/>
  <c r="T59" i="13" s="1"/>
  <c r="V59" i="13" s="1"/>
  <c r="AU60" i="13" s="1"/>
  <c r="F238" i="2"/>
  <c r="G238" i="2" s="1"/>
  <c r="J72" i="13" s="1"/>
  <c r="T65" i="13" s="1"/>
  <c r="F161" i="3"/>
  <c r="G161" i="3" s="1"/>
  <c r="O78" i="13" s="1"/>
  <c r="U61" i="13" s="1"/>
  <c r="G132" i="4"/>
  <c r="H132" i="4" s="1"/>
  <c r="I132" i="4" s="1"/>
  <c r="AA75" i="13" s="1"/>
  <c r="AM78" i="13" s="1"/>
  <c r="G124" i="4"/>
  <c r="H124" i="4" s="1"/>
  <c r="I124" i="4" s="1"/>
  <c r="AA67" i="13" s="1"/>
  <c r="AM48" i="13" s="1"/>
  <c r="AO48" i="13" s="1"/>
  <c r="AV49" i="13" s="1"/>
  <c r="G133" i="4"/>
  <c r="H133" i="4" s="1"/>
  <c r="I133" i="4" s="1"/>
  <c r="AA76" i="13" s="1"/>
  <c r="AM54" i="13" s="1"/>
  <c r="F222" i="2"/>
  <c r="G222" i="2" s="1"/>
  <c r="J56" i="13" s="1"/>
  <c r="T75" i="13" s="1"/>
  <c r="V75" i="13" s="1"/>
  <c r="AU76" i="13" s="1"/>
  <c r="AO66" i="13"/>
  <c r="AV67" i="13" s="1"/>
  <c r="E130" i="5"/>
  <c r="F130" i="5" s="1"/>
  <c r="G130" i="5" s="1"/>
  <c r="AG66" i="13" s="1"/>
  <c r="AN69" i="13" s="1"/>
  <c r="E252" i="6"/>
  <c r="G115" i="4"/>
  <c r="H115" i="4" s="1"/>
  <c r="I115" i="4" s="1"/>
  <c r="AA58" i="13" s="1"/>
  <c r="AM64" i="13" s="1"/>
  <c r="E120" i="5"/>
  <c r="F120" i="5" s="1"/>
  <c r="G120" i="5" s="1"/>
  <c r="AG56" i="13" s="1"/>
  <c r="AN59" i="13" s="1"/>
  <c r="E155" i="5"/>
  <c r="F155" i="5" s="1"/>
  <c r="G155" i="5" s="1"/>
  <c r="AG47" i="13" s="1"/>
  <c r="AN81" i="13" s="1"/>
  <c r="E124" i="5"/>
  <c r="F124" i="5" s="1"/>
  <c r="G124" i="5" s="1"/>
  <c r="AG60" i="13" s="1"/>
  <c r="AN57" i="13" s="1"/>
  <c r="E165" i="5"/>
  <c r="F165" i="5" s="1"/>
  <c r="G165" i="5" s="1"/>
  <c r="AG78" i="13" s="1"/>
  <c r="AN71" i="13" s="1"/>
  <c r="G148" i="4"/>
  <c r="H148" i="4" s="1"/>
  <c r="I148" i="4" s="1"/>
  <c r="AA48" i="13" s="1"/>
  <c r="AM65" i="13" s="1"/>
  <c r="E115" i="5"/>
  <c r="F115" i="5" s="1"/>
  <c r="G115" i="5" s="1"/>
  <c r="AG51" i="13" s="1"/>
  <c r="AN58" i="13" s="1"/>
  <c r="F232" i="2"/>
  <c r="G232" i="2" s="1"/>
  <c r="J66" i="13" s="1"/>
  <c r="T50" i="13" s="1"/>
  <c r="V50" i="13" s="1"/>
  <c r="AU51" i="13" s="1"/>
  <c r="F154" i="3"/>
  <c r="G154" i="3" s="1"/>
  <c r="O50" i="13" s="1"/>
  <c r="U66" i="13" s="1"/>
  <c r="E118" i="6"/>
  <c r="F224" i="2"/>
  <c r="G224" i="2" s="1"/>
  <c r="J58" i="13" s="1"/>
  <c r="T52" i="13" s="1"/>
  <c r="V52" i="13" s="1"/>
  <c r="AU53" i="13" s="1"/>
  <c r="E138" i="5"/>
  <c r="F138" i="5" s="1"/>
  <c r="G138" i="5" s="1"/>
  <c r="AG74" i="13" s="1"/>
  <c r="AN51" i="13" s="1"/>
  <c r="AO51" i="13" s="1"/>
  <c r="AV52" i="13" s="1"/>
  <c r="E128" i="5"/>
  <c r="F128" i="5" s="1"/>
  <c r="G128" i="5" s="1"/>
  <c r="AG64" i="13" s="1"/>
  <c r="AN54" i="13" s="1"/>
  <c r="E114" i="6"/>
  <c r="E115" i="6"/>
  <c r="AO77" i="13" l="1"/>
  <c r="AV78" i="13" s="1"/>
  <c r="AO60" i="13"/>
  <c r="AV61" i="13" s="1"/>
  <c r="V78" i="13"/>
  <c r="AU79" i="13" s="1"/>
  <c r="BA78" i="13"/>
  <c r="CS13" i="13" s="1"/>
  <c r="AO75" i="13"/>
  <c r="AV76" i="13" s="1"/>
  <c r="V69" i="13"/>
  <c r="AU70" i="13" s="1"/>
  <c r="AO71" i="13"/>
  <c r="AV72" i="13" s="1"/>
  <c r="AO64" i="13"/>
  <c r="AV65" i="13" s="1"/>
  <c r="BA65" i="13" s="1"/>
  <c r="EN7" i="13" s="1"/>
  <c r="V61" i="13"/>
  <c r="AU62" i="13" s="1"/>
  <c r="BA62" i="13" s="1"/>
  <c r="DQ11" i="13" s="1"/>
  <c r="G268" i="2"/>
  <c r="J79" i="13" s="1"/>
  <c r="T47" i="13" s="1"/>
  <c r="V47" i="13" s="1"/>
  <c r="AU48" i="13" s="1"/>
  <c r="BA56" i="13"/>
  <c r="BU16" i="13" s="1"/>
  <c r="BA69" i="13"/>
  <c r="EN11" i="13" s="1"/>
  <c r="BA76" i="13"/>
  <c r="CS11" i="13" s="1"/>
  <c r="BA51" i="13"/>
  <c r="BU11" i="13" s="1"/>
  <c r="AO57" i="13"/>
  <c r="AV58" i="13" s="1"/>
  <c r="BA58" i="13" s="1"/>
  <c r="DQ7" i="13" s="1"/>
  <c r="V65" i="13"/>
  <c r="AU66" i="13" s="1"/>
  <c r="BA66" i="13" s="1"/>
  <c r="EN8" i="13" s="1"/>
  <c r="BA81" i="13"/>
  <c r="BA63" i="13"/>
  <c r="DQ12" i="13" s="1"/>
  <c r="V66" i="13"/>
  <c r="AU67" i="13" s="1"/>
  <c r="BA67" i="13" s="1"/>
  <c r="EN9" i="13" s="1"/>
  <c r="AO58" i="13"/>
  <c r="AV59" i="13" s="1"/>
  <c r="V64" i="13"/>
  <c r="AU65" i="13" s="1"/>
  <c r="AO65" i="13"/>
  <c r="AV66" i="13" s="1"/>
  <c r="AO78" i="13"/>
  <c r="AV79" i="13" s="1"/>
  <c r="BA79" i="13" s="1"/>
  <c r="CS14" i="13" s="1"/>
  <c r="AO47" i="13"/>
  <c r="AV48" i="13" s="1"/>
  <c r="BA48" i="13" s="1"/>
  <c r="BU8" i="13" s="1"/>
  <c r="AO79" i="13"/>
  <c r="AV80" i="13" s="1"/>
  <c r="AO76" i="13"/>
  <c r="AV77" i="13" s="1"/>
  <c r="BA77" i="13" s="1"/>
  <c r="CS12" i="13" s="1"/>
  <c r="AO70" i="13"/>
  <c r="AV71" i="13" s="1"/>
  <c r="BA71" i="13" s="1"/>
  <c r="CS6" i="13" s="1"/>
  <c r="V58" i="13"/>
  <c r="AU59" i="13" s="1"/>
  <c r="BA59" i="13" s="1"/>
  <c r="DQ8" i="13" s="1"/>
  <c r="V72" i="13"/>
  <c r="AU73" i="13" s="1"/>
  <c r="AO72" i="13"/>
  <c r="AV73" i="13" s="1"/>
  <c r="BA72" i="13"/>
  <c r="CS7" i="13" s="1"/>
  <c r="BA53" i="13"/>
  <c r="BU13" i="13" s="1"/>
  <c r="V73" i="13"/>
  <c r="AU74" i="13" s="1"/>
  <c r="BA74" i="13" s="1"/>
  <c r="CS9" i="13" s="1"/>
  <c r="G270" i="2"/>
  <c r="J81" i="13" s="1"/>
  <c r="T79" i="13" s="1"/>
  <c r="V79" i="13" s="1"/>
  <c r="AU80" i="13" s="1"/>
  <c r="BA80" i="13" s="1"/>
  <c r="CS15" i="13" s="1"/>
  <c r="AO54" i="13"/>
  <c r="AV55" i="13" s="1"/>
  <c r="AO69" i="13"/>
  <c r="AV70" i="13" s="1"/>
  <c r="BA70" i="13" s="1"/>
  <c r="EN12" i="13" s="1"/>
  <c r="AO59" i="13"/>
  <c r="AV60" i="13" s="1"/>
  <c r="BA60" i="13" s="1"/>
  <c r="DQ9" i="13" s="1"/>
  <c r="G269" i="2"/>
  <c r="J80" i="13" s="1"/>
  <c r="T51" i="13" s="1"/>
  <c r="V51" i="13" s="1"/>
  <c r="AU52" i="13" s="1"/>
  <c r="BA52" i="13" s="1"/>
  <c r="BU12" i="13" s="1"/>
  <c r="AO49" i="13"/>
  <c r="AV50" i="13" s="1"/>
  <c r="BA50" i="13" s="1"/>
  <c r="BU10" i="13" s="1"/>
  <c r="BA64" i="13"/>
  <c r="DQ13" i="13" s="1"/>
  <c r="AO81" i="13"/>
  <c r="AV82" i="13" s="1"/>
  <c r="V81" i="13"/>
  <c r="AU82" i="13" s="1"/>
  <c r="BA49" i="13"/>
  <c r="BU9" i="13" s="1"/>
  <c r="G271" i="2"/>
  <c r="J82" i="13" s="1"/>
  <c r="T45" i="13" s="1"/>
  <c r="V45" i="13" s="1"/>
  <c r="AU46" i="13" s="1"/>
  <c r="BA46" i="13" s="1"/>
  <c r="BU6" i="13" s="1"/>
  <c r="BA57" i="13"/>
  <c r="BU17" i="13" s="1"/>
  <c r="BA55" i="13"/>
  <c r="BU15" i="13" s="1"/>
  <c r="BA75" i="13"/>
  <c r="CS10" i="13" s="1"/>
  <c r="V60" i="13"/>
  <c r="AU61" i="13" s="1"/>
  <c r="BA61" i="13" s="1"/>
  <c r="DQ10" i="13" s="1"/>
  <c r="AO46" i="13"/>
  <c r="AV47" i="13" s="1"/>
  <c r="BA47" i="13" s="1"/>
  <c r="BU7" i="13" s="1"/>
  <c r="BA73" i="13" l="1"/>
  <c r="CS8" i="13" s="1"/>
  <c r="BA82" i="13"/>
</calcChain>
</file>

<file path=xl/comments1.xml><?xml version="1.0" encoding="utf-8"?>
<comments xmlns="http://schemas.openxmlformats.org/spreadsheetml/2006/main">
  <authors>
    <author>DANIEL DIAZ</author>
  </authors>
  <commentList>
    <comment ref="D55" authorId="0">
      <text>
        <r>
          <rPr>
            <b/>
            <sz val="9"/>
            <color indexed="81"/>
            <rFont val="Tahoma"/>
            <family val="2"/>
          </rPr>
          <t>DANIEL DIAZ: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<sst xmlns="http://schemas.openxmlformats.org/spreadsheetml/2006/main" count="5350" uniqueCount="440">
  <si>
    <t>Nuclear energy</t>
  </si>
  <si>
    <t>Global climate framework uncertainty</t>
  </si>
  <si>
    <t>Large scale accidents</t>
  </si>
  <si>
    <t>Capital market constraints</t>
  </si>
  <si>
    <t>Commodity prices &amp; volatility</t>
  </si>
  <si>
    <t>Energy prices &amp; volatility</t>
  </si>
  <si>
    <t>energy prices</t>
  </si>
  <si>
    <t>Currency uncertainty</t>
  </si>
  <si>
    <t>Energy water food nexus</t>
  </si>
  <si>
    <t>Talent scarcity</t>
  </si>
  <si>
    <t>Energy poverty</t>
  </si>
  <si>
    <t>Corruption</t>
  </si>
  <si>
    <t xml:space="preserve">Energy affordability </t>
  </si>
  <si>
    <t>India growth</t>
  </si>
  <si>
    <t>China growth</t>
  </si>
  <si>
    <t>Brazil growth</t>
  </si>
  <si>
    <t>Russia energy diplomacy</t>
  </si>
  <si>
    <t>EU cohesion</t>
  </si>
  <si>
    <t>US trade and policy influencing global energy markets</t>
  </si>
  <si>
    <t>Terrorism</t>
  </si>
  <si>
    <t>Trade barriers</t>
  </si>
  <si>
    <t>Regional interconnection</t>
  </si>
  <si>
    <t>Business cycle</t>
  </si>
  <si>
    <t>Innovative market design &amp; policies</t>
  </si>
  <si>
    <t>Energy subsidies</t>
  </si>
  <si>
    <t>New market players</t>
  </si>
  <si>
    <t>Sustainable cities</t>
  </si>
  <si>
    <t>Renewable energy</t>
  </si>
  <si>
    <t>Biofuels</t>
  </si>
  <si>
    <t>Smart grids</t>
  </si>
  <si>
    <t>Future mobility</t>
  </si>
  <si>
    <t>Electricity storage</t>
  </si>
  <si>
    <t>Hydro power</t>
  </si>
  <si>
    <t>Unconventional fossil fuels</t>
  </si>
  <si>
    <t>oil shale</t>
  </si>
  <si>
    <t>Hydrogen economy</t>
  </si>
  <si>
    <t>Water-Food-Energy Nexus</t>
  </si>
  <si>
    <t>Russian ENERGY Policy</t>
  </si>
  <si>
    <t>Carbon Capture and Storage</t>
  </si>
  <si>
    <t>Semana</t>
  </si>
  <si>
    <t>nuclear energy</t>
  </si>
  <si>
    <t>2012-01-01 - 2012-01-07</t>
  </si>
  <si>
    <t>2012-01-08 - 2012-01-14</t>
  </si>
  <si>
    <t>2012-01-15 - 2012-01-21</t>
  </si>
  <si>
    <t>2012-01-22 - 2012-01-28</t>
  </si>
  <si>
    <t>2012-01-29 - 2012-02-04</t>
  </si>
  <si>
    <t>2012-02-05 - 2012-02-11</t>
  </si>
  <si>
    <t>2012-02-12 - 2012-02-18</t>
  </si>
  <si>
    <t>2012-02-19 - 2012-02-25</t>
  </si>
  <si>
    <t>2012-02-26 - 2012-03-03</t>
  </si>
  <si>
    <t>2012-03-04 - 2012-03-10</t>
  </si>
  <si>
    <t>2012-03-11 - 2012-03-17</t>
  </si>
  <si>
    <t>2012-03-18 - 2012-03-24</t>
  </si>
  <si>
    <t>2012-03-25 - 2012-03-31</t>
  </si>
  <si>
    <t>2012-04-01 - 2012-04-07</t>
  </si>
  <si>
    <t>2012-04-08 - 2012-04-14</t>
  </si>
  <si>
    <t>2012-04-15 - 2012-04-21</t>
  </si>
  <si>
    <t>2012-04-22 - 2012-04-28</t>
  </si>
  <si>
    <t>2012-04-29 - 2012-05-05</t>
  </si>
  <si>
    <t>2012-05-06 - 2012-05-12</t>
  </si>
  <si>
    <t>2012-05-13 - 2012-05-19</t>
  </si>
  <si>
    <t>2012-05-20 - 2012-05-26</t>
  </si>
  <si>
    <t>2012-05-27 - 2012-06-02</t>
  </si>
  <si>
    <t>2012-06-03 - 2012-06-09</t>
  </si>
  <si>
    <t>2012-06-10 - 2012-06-16</t>
  </si>
  <si>
    <t>2012-06-17 - 2012-06-23</t>
  </si>
  <si>
    <t>2012-06-24 - 2012-06-30</t>
  </si>
  <si>
    <t>2012-07-01 - 2012-07-07</t>
  </si>
  <si>
    <t>2012-07-08 - 2012-07-14</t>
  </si>
  <si>
    <t>2012-07-15 - 2012-07-21</t>
  </si>
  <si>
    <t>2012-07-22 - 2012-07-28</t>
  </si>
  <si>
    <t>2012-07-29 - 2012-08-04</t>
  </si>
  <si>
    <t>2012-08-05 - 2012-08-11</t>
  </si>
  <si>
    <t>2012-08-12 - 2012-08-18</t>
  </si>
  <si>
    <t>2012-08-19 - 2012-08-25</t>
  </si>
  <si>
    <t>2012-08-26 - 2012-09-01</t>
  </si>
  <si>
    <t>2012-09-02 - 2012-09-08</t>
  </si>
  <si>
    <t>2012-09-09 - 2012-09-15</t>
  </si>
  <si>
    <t>2012-09-16 - 2012-09-22</t>
  </si>
  <si>
    <t>2012-09-23 - 2012-09-29</t>
  </si>
  <si>
    <t>2012-09-30 - 2012-10-06</t>
  </si>
  <si>
    <t>2012-10-07 - 2012-10-13</t>
  </si>
  <si>
    <t>2012-10-14 - 2012-10-20</t>
  </si>
  <si>
    <t>2012-10-21 - 2012-10-27</t>
  </si>
  <si>
    <t>2012-10-28 - 2012-11-03</t>
  </si>
  <si>
    <t>2012-11-04 - 2012-11-10</t>
  </si>
  <si>
    <t>2012-11-11 - 2012-11-17</t>
  </si>
  <si>
    <t>2012-11-18 - 2012-11-24</t>
  </si>
  <si>
    <t>2012-11-25 - 2012-12-01</t>
  </si>
  <si>
    <t>2012-12-02 - 2012-12-08</t>
  </si>
  <si>
    <t>2012-12-09 - 2012-12-15</t>
  </si>
  <si>
    <t>2012-12-16 - 2012-12-22</t>
  </si>
  <si>
    <t>2012-12-23 - 2012-12-29</t>
  </si>
  <si>
    <t>2012-12-30 - 2013-01-05</t>
  </si>
  <si>
    <t>2013-01-06 - 2013-01-12</t>
  </si>
  <si>
    <t>2013-01-13 - 2013-01-19</t>
  </si>
  <si>
    <t>2013-01-20 - 2013-01-26</t>
  </si>
  <si>
    <t>2013-01-27 - 2013-02-02</t>
  </si>
  <si>
    <t>2013-02-03 - 2013-02-09</t>
  </si>
  <si>
    <t>2013-02-10 - 2013-02-16</t>
  </si>
  <si>
    <t>2013-02-17 - 2013-02-23</t>
  </si>
  <si>
    <t>2013-02-24 - 2013-03-02</t>
  </si>
  <si>
    <t>2013-03-03 - 2013-03-09</t>
  </si>
  <si>
    <t>2013-03-10 - 2013-03-16</t>
  </si>
  <si>
    <t>2013-03-17 - 2013-03-23</t>
  </si>
  <si>
    <t>2013-03-24 - 2013-03-30</t>
  </si>
  <si>
    <t>2013-03-31 - 2013-04-06</t>
  </si>
  <si>
    <t>2013-04-07 - 2013-04-13</t>
  </si>
  <si>
    <t>2013-04-14 - 2013-04-20</t>
  </si>
  <si>
    <t>2013-04-21 - 2013-04-27</t>
  </si>
  <si>
    <t>2013-04-28 - 2013-05-04</t>
  </si>
  <si>
    <t>2013-05-05 - 2013-05-11</t>
  </si>
  <si>
    <t>2013-05-12 - 2013-05-18</t>
  </si>
  <si>
    <t>2013-05-19 - 2013-05-25</t>
  </si>
  <si>
    <t>2013-05-26 - 2013-06-01</t>
  </si>
  <si>
    <t>2013-06-02 - 2013-06-08</t>
  </si>
  <si>
    <t>2013-06-09 - 2013-06-15</t>
  </si>
  <si>
    <t>2013-06-16 - 2013-06-22</t>
  </si>
  <si>
    <t>2013-06-23 - 2013-06-29</t>
  </si>
  <si>
    <t>2013-06-30 - 2013-07-06</t>
  </si>
  <si>
    <t>2013-07-07 - 2013-07-13</t>
  </si>
  <si>
    <t>2013-07-14 - 2013-07-20</t>
  </si>
  <si>
    <t>2013-07-21 - 2013-07-27</t>
  </si>
  <si>
    <t>2013-07-28 - 2013-08-03</t>
  </si>
  <si>
    <t>2013-08-04 - 2013-08-10</t>
  </si>
  <si>
    <t>2013-08-11 - 2013-08-17</t>
  </si>
  <si>
    <t>2013-08-18 - 2013-08-24</t>
  </si>
  <si>
    <t>2013-08-25 - 2013-08-31</t>
  </si>
  <si>
    <t>2013-09-01 - 2013-09-07</t>
  </si>
  <si>
    <t>2013-09-08 - 2013-09-14</t>
  </si>
  <si>
    <t>2013-09-15 - 2013-09-21</t>
  </si>
  <si>
    <t>2013-09-22 - 2013-09-28</t>
  </si>
  <si>
    <t>2013-09-29 - 2013-10-05</t>
  </si>
  <si>
    <t>2013-10-06 - 2013-10-12</t>
  </si>
  <si>
    <t>2013-10-13 - 2013-10-19</t>
  </si>
  <si>
    <t>2013-10-20 - 2013-10-26</t>
  </si>
  <si>
    <t>2013-10-27 - 2013-11-02</t>
  </si>
  <si>
    <t>2013-11-03 - 2013-11-09</t>
  </si>
  <si>
    <t>2013-11-10 - 2013-11-16</t>
  </si>
  <si>
    <t>2013-11-17 - 2013-11-23</t>
  </si>
  <si>
    <t>2013-11-24 - 2013-11-30</t>
  </si>
  <si>
    <t>2013-12-01 - 2013-12-07</t>
  </si>
  <si>
    <t>2013-12-08 - 2013-12-14</t>
  </si>
  <si>
    <t>2013-12-15 - 2013-12-21</t>
  </si>
  <si>
    <t>2013-12-22 - 2013-12-28</t>
  </si>
  <si>
    <t>2013-12-29 - 2014-01-04</t>
  </si>
  <si>
    <t xml:space="preserve"> </t>
  </si>
  <si>
    <t>Mes</t>
  </si>
  <si>
    <t>climate uncertainty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</si>
  <si>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</si>
  <si>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</si>
  <si>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</si>
  <si>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</si>
  <si>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</si>
  <si>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</si>
  <si>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</si>
  <si>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</si>
  <si>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</si>
  <si>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</si>
  <si>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</si>
  <si>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</si>
  <si>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</si>
  <si>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</si>
  <si>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</si>
  <si>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</si>
  <si>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</si>
  <si>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</si>
  <si>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</si>
  <si>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</si>
  <si>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</si>
  <si>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</si>
  <si>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</si>
  <si>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</si>
  <si>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fukushima accident</t>
  </si>
  <si>
    <t>capital market</t>
  </si>
  <si>
    <t>commodity prices</t>
  </si>
  <si>
    <t>currency crises</t>
  </si>
  <si>
    <t>energy water food nexus</t>
  </si>
  <si>
    <t>shortage of engineering</t>
  </si>
  <si>
    <t>energy poverty</t>
  </si>
  <si>
    <t>energy affordability</t>
  </si>
  <si>
    <t>corruption</t>
  </si>
  <si>
    <t>india growth</t>
  </si>
  <si>
    <t>china growth</t>
  </si>
  <si>
    <t>brazil growth</t>
  </si>
  <si>
    <t>natural gas russia</t>
  </si>
  <si>
    <t>eu cohesion</t>
  </si>
  <si>
    <t>Middle East / North Africa fragility</t>
  </si>
  <si>
    <t>Middle East and North Africa MENA</t>
  </si>
  <si>
    <t>MENA fragility</t>
  </si>
  <si>
    <t>mena middle east and north africa</t>
  </si>
  <si>
    <t>us energy trade</t>
  </si>
  <si>
    <t>terrorism</t>
  </si>
  <si>
    <t>trade barriers</t>
  </si>
  <si>
    <t>business cycle</t>
  </si>
  <si>
    <t>new market designs</t>
  </si>
  <si>
    <t>energy subsidies</t>
  </si>
  <si>
    <t>new market players</t>
  </si>
  <si>
    <t>sustainable cities</t>
  </si>
  <si>
    <t>carbon capture and storage</t>
  </si>
  <si>
    <t>Carbon capture, utilisation &amp; storage (CCUS)</t>
  </si>
  <si>
    <t>renewable energy</t>
  </si>
  <si>
    <t>biofuels</t>
  </si>
  <si>
    <t>smart grids</t>
  </si>
  <si>
    <t>future mobility</t>
  </si>
  <si>
    <t>electricity storage</t>
  </si>
  <si>
    <t>hydro power</t>
  </si>
  <si>
    <t>shale gas</t>
  </si>
  <si>
    <t>hydrogen economy</t>
  </si>
  <si>
    <t>Free Patents</t>
  </si>
  <si>
    <t>Scopus</t>
  </si>
  <si>
    <t>Número de Publicaciones</t>
  </si>
  <si>
    <t>Google News</t>
  </si>
  <si>
    <t>Numero de Noticias</t>
  </si>
  <si>
    <t>Interes a lo largo del Tiempo</t>
  </si>
  <si>
    <t>Numero de Patentes</t>
  </si>
  <si>
    <t>Promedio</t>
  </si>
  <si>
    <t>China India growth</t>
  </si>
  <si>
    <t>impacto</t>
  </si>
  <si>
    <t>Global Recesion</t>
  </si>
  <si>
    <t>Energy Efficiency</t>
  </si>
  <si>
    <t>Tema</t>
  </si>
  <si>
    <t>Max</t>
  </si>
  <si>
    <t>Maximo</t>
  </si>
  <si>
    <t>Promedio Tendencia Busquedas</t>
  </si>
  <si>
    <t>Patentes</t>
  </si>
  <si>
    <t>Impacto</t>
  </si>
  <si>
    <t>maximo</t>
  </si>
  <si>
    <t>invirtiendo valores</t>
  </si>
  <si>
    <t xml:space="preserve">Impacto organizado de mayor a menor </t>
  </si>
  <si>
    <t>Temas con impacto Medio</t>
  </si>
  <si>
    <t>Porcentaje de impacto medio</t>
  </si>
  <si>
    <t>Temas con impacto Alto</t>
  </si>
  <si>
    <t>Macroeconomic</t>
  </si>
  <si>
    <t>Business environment</t>
  </si>
  <si>
    <t>Geopolitics &amp; regional</t>
  </si>
  <si>
    <t>Vision &amp; technology</t>
  </si>
  <si>
    <t>Porcentaje de impacto Alto</t>
  </si>
  <si>
    <t>Temas con impacto Bajo</t>
  </si>
  <si>
    <t>Porcentaje de impacto Bajo</t>
  </si>
  <si>
    <t>Clasificacion</t>
  </si>
  <si>
    <t>Datos Extraidos de Google Trends</t>
  </si>
  <si>
    <t>Electric Interconection</t>
  </si>
  <si>
    <t>2012-01-01 - 2012-01-07,</t>
  </si>
  <si>
    <t>2012-01-08 - 2012-01-14,</t>
  </si>
  <si>
    <t>2012-01-15 - 2012-01-21,</t>
  </si>
  <si>
    <t>2012-01-22 - 2012-01-28,</t>
  </si>
  <si>
    <t>2012-01-29 - 2012-02-04,</t>
  </si>
  <si>
    <t>2012-02-05 - 2012-02-11,</t>
  </si>
  <si>
    <t>2012-02-12 - 2012-02-18,</t>
  </si>
  <si>
    <t>2012-02-19 - 2012-02-25,</t>
  </si>
  <si>
    <t>2012-02-26 - 2012-03-03,</t>
  </si>
  <si>
    <t>2012-03-04 - 2012-03-10,</t>
  </si>
  <si>
    <t>2012-03-11 - 2012-03-17,</t>
  </si>
  <si>
    <t>2012-03-18 - 2012-03-24,</t>
  </si>
  <si>
    <t>2012-03-25 - 2012-03-31,</t>
  </si>
  <si>
    <t>2012-04-01 - 2012-04-07,</t>
  </si>
  <si>
    <t>2012-04-08 - 2012-04-14,</t>
  </si>
  <si>
    <t>2012-04-15 - 2012-04-21,</t>
  </si>
  <si>
    <t>2012-04-22 - 2012-04-28,</t>
  </si>
  <si>
    <t>2012-04-29 - 2012-05-05,</t>
  </si>
  <si>
    <t>2012-05-06 - 2012-05-12,</t>
  </si>
  <si>
    <t>2012-05-13 - 2012-05-19,</t>
  </si>
  <si>
    <t>2012-05-20 - 2012-05-26,</t>
  </si>
  <si>
    <t>2012-05-27 - 2012-06-02,</t>
  </si>
  <si>
    <t>2012-06-03 - 2012-06-09,</t>
  </si>
  <si>
    <t>2012-06-10 - 2012-06-16,</t>
  </si>
  <si>
    <t>2012-06-17 - 2012-06-23,</t>
  </si>
  <si>
    <t>2012-06-24 - 2012-06-30,</t>
  </si>
  <si>
    <t>2012-07-01 - 2012-07-07,</t>
  </si>
  <si>
    <t>2012-07-08 - 2012-07-14,</t>
  </si>
  <si>
    <t>2012-07-15 - 2012-07-21,</t>
  </si>
  <si>
    <t>2012-07-22 - 2012-07-28,</t>
  </si>
  <si>
    <t>2012-07-29 - 2012-08-04,</t>
  </si>
  <si>
    <t>2012-08-05 - 2012-08-11,</t>
  </si>
  <si>
    <t>2012-08-12 - 2012-08-18,</t>
  </si>
  <si>
    <t>2012-08-19 - 2012-08-25,</t>
  </si>
  <si>
    <t>2012-08-26 - 2012-09-01,</t>
  </si>
  <si>
    <t>2012-09-02 - 2012-09-08,</t>
  </si>
  <si>
    <t>2012-09-09 - 2012-09-15,</t>
  </si>
  <si>
    <t>2012-09-16 - 2012-09-22,</t>
  </si>
  <si>
    <t>2012-09-23 - 2012-09-29,</t>
  </si>
  <si>
    <t>2012-09-30 - 2012-10-06,</t>
  </si>
  <si>
    <t>2012-10-07 - 2012-10-13,</t>
  </si>
  <si>
    <t>2012-10-14 - 2012-10-20,</t>
  </si>
  <si>
    <t>2012-10-21 - 2012-10-27,</t>
  </si>
  <si>
    <t>2012-10-28 - 2012-11-03,</t>
  </si>
  <si>
    <t>2012-11-04 - 2012-11-10,</t>
  </si>
  <si>
    <t>2012-11-11 - 2012-11-17,</t>
  </si>
  <si>
    <t>2012-11-18 - 2012-11-24,</t>
  </si>
  <si>
    <t>2012-11-25 - 2012-12-01,</t>
  </si>
  <si>
    <t>2012-12-02 - 2012-12-08,</t>
  </si>
  <si>
    <t>2012-12-09 - 2012-12-15,</t>
  </si>
  <si>
    <t>2012-12-16 - 2012-12-22,</t>
  </si>
  <si>
    <t>2012-12-23 - 2012-12-29,</t>
  </si>
  <si>
    <t>2012-12-30 - 2013-01-05,</t>
  </si>
  <si>
    <t>2013-01-06 - 2013-01-12,</t>
  </si>
  <si>
    <t>2013-01-13 - 2013-01-19,</t>
  </si>
  <si>
    <t>2013-01-20 - 2013-01-26,</t>
  </si>
  <si>
    <t>2013-01-27 - 2013-02-02,</t>
  </si>
  <si>
    <t>2013-02-03 - 2013-02-09,</t>
  </si>
  <si>
    <t>2013-02-10 - 2013-02-16,</t>
  </si>
  <si>
    <t>2013-02-17 - 2013-02-23,</t>
  </si>
  <si>
    <t>2013-02-24 - 2013-03-02,</t>
  </si>
  <si>
    <t>2013-03-03 - 2013-03-09,</t>
  </si>
  <si>
    <t>2013-03-10 - 2013-03-16,</t>
  </si>
  <si>
    <t>2013-03-17 - 2013-03-23,</t>
  </si>
  <si>
    <t>2013-03-24 - 2013-03-30,</t>
  </si>
  <si>
    <t>2013-03-31 - 2013-04-06,</t>
  </si>
  <si>
    <t>2013-04-07 - 2013-04-13,</t>
  </si>
  <si>
    <t>2013-04-14 - 2013-04-20,</t>
  </si>
  <si>
    <t>2013-04-21 - 2013-04-27,</t>
  </si>
  <si>
    <t>2013-04-28 - 2013-05-04,</t>
  </si>
  <si>
    <t>2013-05-05 - 2013-05-11,</t>
  </si>
  <si>
    <t>2013-05-12 - 2013-05-18,</t>
  </si>
  <si>
    <t>2013-05-19 - 2013-05-25,</t>
  </si>
  <si>
    <t>2013-05-26 - 2013-06-01,</t>
  </si>
  <si>
    <t>2013-06-02 - 2013-06-08,</t>
  </si>
  <si>
    <t>2013-06-09 - 2013-06-15,</t>
  </si>
  <si>
    <t>2013-06-16 - 2013-06-22,</t>
  </si>
  <si>
    <t>2013-06-23 - 2013-06-29,</t>
  </si>
  <si>
    <t>2013-06-30 - 2013-07-06,</t>
  </si>
  <si>
    <t>2013-07-07 - 2013-07-13,</t>
  </si>
  <si>
    <t>2013-07-14 - 2013-07-20,</t>
  </si>
  <si>
    <t>2013-07-21 - 2013-07-27,</t>
  </si>
  <si>
    <t>2013-07-28 - 2013-08-03,</t>
  </si>
  <si>
    <t>2013-08-04 - 2013-08-10,</t>
  </si>
  <si>
    <t>2013-08-11 - 2013-08-17,</t>
  </si>
  <si>
    <t>2013-08-18 - 2013-08-24,</t>
  </si>
  <si>
    <t>2013-08-25 - 2013-08-31,</t>
  </si>
  <si>
    <t>2013-09-01 - 2013-09-07,</t>
  </si>
  <si>
    <t>2013-09-08 - 2013-09-14,</t>
  </si>
  <si>
    <t>2013-09-15 - 2013-09-21,</t>
  </si>
  <si>
    <t>2013-09-22 - 2013-09-28,</t>
  </si>
  <si>
    <t>2013-09-29 - 2013-10-05,</t>
  </si>
  <si>
    <t>2013-10-06 - 2013-10-12,</t>
  </si>
  <si>
    <t>2013-10-13 - 2013-10-19,</t>
  </si>
  <si>
    <t>2013-10-20 - 2013-10-26,</t>
  </si>
  <si>
    <t>2013-10-27 - 2013-11-02,</t>
  </si>
  <si>
    <t>2013-11-03 - 2013-11-09,</t>
  </si>
  <si>
    <t>2013-11-10 - 2013-11-16,</t>
  </si>
  <si>
    <t>2013-11-17 - 2013-11-23,</t>
  </si>
  <si>
    <t>2013-11-24 - 2013-11-30,</t>
  </si>
  <si>
    <t>2013-12-01 - 2013-12-07,</t>
  </si>
  <si>
    <t>2013-12-08 - 2013-12-14,</t>
  </si>
  <si>
    <t>2013-12-15 - 2013-12-21,</t>
  </si>
  <si>
    <t>2013-12-22 - 2013-12-28,</t>
  </si>
  <si>
    <t>2013-12-29 - 2014-01-04,</t>
  </si>
  <si>
    <t>Porcentaje de noticias medio</t>
  </si>
  <si>
    <t>|</t>
  </si>
  <si>
    <t>Datos Extraidos de Google News</t>
  </si>
  <si>
    <t xml:space="preserve">Promedio de tendencia de busqueda ultimo año organizado de mayor a menor </t>
  </si>
  <si>
    <t>Temas con promedio de tendencia de busqueda medio</t>
  </si>
  <si>
    <t>Promedio de busqueda</t>
  </si>
  <si>
    <t>Porcentaje de busqueda medio</t>
  </si>
  <si>
    <t>Promedio de Busquedas</t>
  </si>
  <si>
    <t>Valor de Impacto</t>
  </si>
  <si>
    <t>Porcentaje de tendencia busqueda Alto</t>
  </si>
  <si>
    <t>Porcentaje de tendencia de busqueda Bajo</t>
  </si>
  <si>
    <t>numero de noticias</t>
  </si>
  <si>
    <t>Temas con promedio Alto de Busqueda</t>
  </si>
  <si>
    <t>Global Recession</t>
  </si>
  <si>
    <t xml:space="preserve">  </t>
  </si>
  <si>
    <t xml:space="preserve">Patentes ultimo año organizado de mayor a menor </t>
  </si>
  <si>
    <t>Patentes ultimo año</t>
  </si>
  <si>
    <t>numero de Patentes</t>
  </si>
  <si>
    <t>Porcentaje de patentes medio</t>
  </si>
  <si>
    <t>Porcentaje de patentes alto</t>
  </si>
  <si>
    <t>Temas Alto numero de patentes</t>
  </si>
  <si>
    <t>Temas bajo numero de patentes</t>
  </si>
  <si>
    <t>Porcentaje de patentes bajo</t>
  </si>
  <si>
    <t xml:space="preserve">Publicaciones ultimo año organizado de mayor a menor </t>
  </si>
  <si>
    <t>Publicaciones ultimo año</t>
  </si>
  <si>
    <t>numero de Publicaciones</t>
  </si>
  <si>
    <t>Porcentaje de Publicaciones medio</t>
  </si>
  <si>
    <t>Temas Alto numero de publicaciones</t>
  </si>
  <si>
    <t>Temas Bajo numero de publicaciones</t>
  </si>
  <si>
    <t>Datos Estudio WEC</t>
  </si>
  <si>
    <t>Google Trends</t>
  </si>
  <si>
    <t>Promedio de Free Patents y Scopus</t>
  </si>
  <si>
    <t>Google trends</t>
  </si>
  <si>
    <t>Datos Extraidos de la tabulacion del mapa temático Mundial del WEC</t>
  </si>
  <si>
    <t>Temas con promedio bajo de Busqueda</t>
  </si>
  <si>
    <t xml:space="preserve"> Noticias ultimo año organizado de mayor a menor </t>
  </si>
  <si>
    <t>Numero de noticias medio</t>
  </si>
  <si>
    <t>Numero de noticias alto</t>
  </si>
  <si>
    <t>Porcentaje de noticias alto</t>
  </si>
  <si>
    <t>Numero de noticias bajo</t>
  </si>
  <si>
    <t>Porcentaje de noticias bajo</t>
  </si>
  <si>
    <t>numero  de Noticias</t>
  </si>
  <si>
    <t>Datos Extraidos de Free Patents</t>
  </si>
  <si>
    <t>Numero medio de patentes</t>
  </si>
  <si>
    <t>Datos Extraidos de Scopus</t>
  </si>
  <si>
    <t>Temas Medio numero de publicaciones</t>
  </si>
  <si>
    <t>Promedio de Google News y Google Trends</t>
  </si>
  <si>
    <t>Impacto de Referencia</t>
  </si>
  <si>
    <t>Datos para Mapa Propuesto de Referencia</t>
  </si>
  <si>
    <t>Incertidumbre de Referencia</t>
  </si>
  <si>
    <t>Incertidumbre</t>
  </si>
  <si>
    <t>Mapa Temático Mundial Datos del WEC</t>
  </si>
  <si>
    <t>Mapa Temático Mundial de Indicadores de Referencia</t>
  </si>
  <si>
    <t>incertidumbre</t>
  </si>
  <si>
    <t xml:space="preserve">incertidumbre organizada de mayor a menor </t>
  </si>
  <si>
    <t>Temas con incertidumbre Media</t>
  </si>
  <si>
    <t>Porcentaje de incertidumbre Alta</t>
  </si>
  <si>
    <t>Temas con incertidumbre Alta</t>
  </si>
  <si>
    <t>Porcentaje de incertidumbre Alto</t>
  </si>
  <si>
    <t>Temas con incertidumbre Baja</t>
  </si>
  <si>
    <t>Porcentaje de incertidumbre Baja</t>
  </si>
  <si>
    <t>Numero de Publicaciones</t>
  </si>
  <si>
    <t>INGRESO DE DATOS</t>
  </si>
  <si>
    <t xml:space="preserve">ESCENARIOS ENERGÉTICOS A 2050 PARA LAS SMART GRIDS EN COLOMBIA BASADOS EN LOS ESTUDIOS WEC ENERGY SCENARIOS 2050, ENERGY TRILEMMA 2013 Y ISSUES MAP MONITOR 2013 </t>
  </si>
  <si>
    <t>Daniel Felipe Diaz Toro</t>
  </si>
  <si>
    <t>Ingreso de datos del Estudio del WEC</t>
  </si>
  <si>
    <t>GRAFICAR</t>
  </si>
  <si>
    <t>INSTRUCCIONES</t>
  </si>
  <si>
    <t>Antes de usar el presente anexo, cerciorarse de conocer el capitulo 1 del trabajo de grado, con el propósito de entender la metodología de los mapas temáticos del WEC y de los indicadores de referencia</t>
  </si>
  <si>
    <t>Para actualizar los indicadores de referencia:</t>
  </si>
  <si>
    <t>2.1</t>
  </si>
  <si>
    <t xml:space="preserve">Seleccionar  el botón de Free Patents, Google News, Google Trends y Scopus  respectivamente, e ingresar los datos obtenidos de cada una de estas herramientas para el correspondiente año </t>
  </si>
  <si>
    <t>2.2</t>
  </si>
  <si>
    <t>Dar clic en el botón ordenar datos y finalmente ir al menú graficar y seleccionar la grafica de interés (mapas temáticos del WEC o indicadores de referencia)</t>
  </si>
  <si>
    <t>Si desea generar los mapas del estudio del WEC y cuenta con los valores de la encuesta, dar clic en el menú  ingreso de datos y seleccionar el botón valor de impacto e incertidumbre para ingresar los respectivos valores.</t>
  </si>
  <si>
    <t>3.1</t>
  </si>
  <si>
    <t>Dar clic en el botón ordenar datos y finalmente  ir al menú en graficar y seleccionar  la grafica de interés</t>
  </si>
  <si>
    <t>Comparativo temas Macroeconómicos</t>
  </si>
  <si>
    <t>Comparativo temas de Vision y Tecnología</t>
  </si>
  <si>
    <t>Comparativo temas Ambiente de Negocios</t>
  </si>
  <si>
    <t>Comparativo temas Geopolítica y Regiones</t>
  </si>
  <si>
    <t>Graficas comparativas de los  indicadores de Referencia y del WEC</t>
  </si>
  <si>
    <t>2.3</t>
  </si>
  <si>
    <t>Para obtener una comparación de la grafica de los indicadores de referencia y el estudio del WEC de una manera visual y numérica , dar clic en el botón Macroeconómicos, Visión y Tecnología, Geopolítica y Regiones y Ambiente de negocios.</t>
  </si>
  <si>
    <t>x1</t>
  </si>
  <si>
    <t>y1</t>
  </si>
  <si>
    <t>x2</t>
  </si>
  <si>
    <t>y2</t>
  </si>
  <si>
    <t>Formula Utilizada</t>
  </si>
  <si>
    <t>Distancia de los puntos entre las dos metodologías (cm)</t>
  </si>
  <si>
    <t>ANEXO 1: PROPUESTA DE LOS INDICADORES DE REFERENCIA PARA EL ESTUDIO DEL WEC ISSUES MAP MONITOR</t>
  </si>
  <si>
    <t>EL PRESENTE DOCUMENTO ES EL ANEXO 1 DEL TRABAJO DE GRADO:  ESCENARIOS ENERGÉTICOS A 2050 PARA LAS SMART GRIDS EN COLOMBIA BASADOS EN LOS ESTUDIOS WEC ENERGY SCENARIOS 2050, ENERGY TRILEMMA 2013 Y ISSUES MAP MONITOR 2013, REALIZADO POR EL INGENIERO DANIEL FELIPE DIAZ TORO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</si>
</sst>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b/>
      <sz val="7.5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rgb="FF00206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8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2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4" fillId="2" borderId="0" xfId="0" applyFont="1" applyFill="1"/>
    <xf numFmtId="9" fontId="0" fillId="0" borderId="0" xfId="0" applyNumberFormat="1"/>
    <xf numFmtId="0" fontId="0" fillId="4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right"/>
    </xf>
    <xf numFmtId="0" fontId="3" fillId="0" borderId="3" xfId="0" applyFont="1" applyBorder="1"/>
    <xf numFmtId="0" fontId="0" fillId="0" borderId="0" xfId="0" applyBorder="1"/>
    <xf numFmtId="0" fontId="2" fillId="3" borderId="1" xfId="0" applyFont="1" applyFill="1" applyBorder="1" applyAlignment="1"/>
    <xf numFmtId="0" fontId="2" fillId="3" borderId="2" xfId="0" applyFont="1" applyFill="1" applyBorder="1" applyAlignment="1"/>
    <xf numFmtId="0" fontId="0" fillId="0" borderId="5" xfId="0" applyBorder="1"/>
    <xf numFmtId="0" fontId="0" fillId="0" borderId="6" xfId="0" applyBorder="1"/>
    <xf numFmtId="3" fontId="0" fillId="0" borderId="6" xfId="0" applyNumberFormat="1" applyBorder="1"/>
    <xf numFmtId="3" fontId="0" fillId="0" borderId="4" xfId="0" applyNumberFormat="1" applyBorder="1"/>
    <xf numFmtId="0" fontId="0" fillId="0" borderId="2" xfId="0" applyBorder="1" applyAlignment="1">
      <alignment horizontal="center"/>
    </xf>
    <xf numFmtId="0" fontId="0" fillId="0" borderId="4" xfId="0" applyBorder="1"/>
    <xf numFmtId="0" fontId="0" fillId="4" borderId="4" xfId="0" applyFill="1" applyBorder="1"/>
    <xf numFmtId="9" fontId="0" fillId="0" borderId="0" xfId="2" applyFont="1"/>
    <xf numFmtId="1" fontId="0" fillId="0" borderId="0" xfId="0" applyNumberFormat="1"/>
    <xf numFmtId="0" fontId="0" fillId="0" borderId="7" xfId="0" applyBorder="1"/>
    <xf numFmtId="0" fontId="2" fillId="3" borderId="1" xfId="0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9" xfId="0" applyBorder="1"/>
    <xf numFmtId="0" fontId="0" fillId="0" borderId="10" xfId="0" applyBorder="1"/>
    <xf numFmtId="1" fontId="0" fillId="0" borderId="6" xfId="1" applyNumberFormat="1" applyFont="1" applyBorder="1" applyAlignment="1">
      <alignment horizontal="right"/>
    </xf>
    <xf numFmtId="0" fontId="0" fillId="0" borderId="11" xfId="0" applyBorder="1"/>
    <xf numFmtId="1" fontId="0" fillId="0" borderId="12" xfId="0" applyNumberFormat="1" applyBorder="1"/>
    <xf numFmtId="0" fontId="2" fillId="3" borderId="5" xfId="0" applyFont="1" applyFill="1" applyBorder="1" applyAlignment="1">
      <alignment vertical="center"/>
    </xf>
    <xf numFmtId="0" fontId="0" fillId="0" borderId="1" xfId="0" applyBorder="1"/>
    <xf numFmtId="2" fontId="0" fillId="0" borderId="0" xfId="0" applyNumberFormat="1"/>
    <xf numFmtId="0" fontId="2" fillId="3" borderId="1" xfId="0" applyFont="1" applyFill="1" applyBorder="1" applyAlignment="1">
      <alignment horizontal="left"/>
    </xf>
    <xf numFmtId="2" fontId="0" fillId="0" borderId="0" xfId="0" applyNumberFormat="1" applyAlignment="1">
      <alignment horizontal="right"/>
    </xf>
    <xf numFmtId="0" fontId="0" fillId="2" borderId="0" xfId="0" applyFill="1"/>
    <xf numFmtId="0" fontId="0" fillId="0" borderId="12" xfId="0" applyBorder="1"/>
    <xf numFmtId="2" fontId="0" fillId="0" borderId="0" xfId="0" applyNumberFormat="1" applyBorder="1"/>
    <xf numFmtId="0" fontId="2" fillId="5" borderId="3" xfId="0" applyFont="1" applyFill="1" applyBorder="1"/>
    <xf numFmtId="0" fontId="6" fillId="5" borderId="0" xfId="0" applyFont="1" applyFill="1" applyBorder="1"/>
    <xf numFmtId="0" fontId="6" fillId="5" borderId="4" xfId="0" applyFont="1" applyFill="1" applyBorder="1" applyAlignment="1">
      <alignment horizontal="center" wrapText="1"/>
    </xf>
    <xf numFmtId="9" fontId="0" fillId="0" borderId="4" xfId="2" applyFont="1" applyBorder="1"/>
    <xf numFmtId="0" fontId="2" fillId="3" borderId="11" xfId="0" applyFont="1" applyFill="1" applyBorder="1" applyAlignment="1"/>
    <xf numFmtId="9" fontId="0" fillId="0" borderId="6" xfId="2" applyFont="1" applyBorder="1"/>
    <xf numFmtId="0" fontId="2" fillId="5" borderId="13" xfId="0" applyFont="1" applyFill="1" applyBorder="1" applyAlignment="1">
      <alignment horizontal="center"/>
    </xf>
    <xf numFmtId="2" fontId="0" fillId="0" borderId="4" xfId="0" applyNumberFormat="1" applyBorder="1"/>
    <xf numFmtId="2" fontId="0" fillId="0" borderId="6" xfId="0" applyNumberFormat="1" applyBorder="1"/>
    <xf numFmtId="0" fontId="2" fillId="5" borderId="14" xfId="0" applyFont="1" applyFill="1" applyBorder="1" applyAlignment="1">
      <alignment horizontal="center"/>
    </xf>
    <xf numFmtId="0" fontId="0" fillId="8" borderId="1" xfId="0" applyFill="1" applyBorder="1"/>
    <xf numFmtId="0" fontId="0" fillId="8" borderId="3" xfId="0" applyFill="1" applyBorder="1"/>
    <xf numFmtId="0" fontId="0" fillId="9" borderId="3" xfId="0" applyFill="1" applyBorder="1"/>
    <xf numFmtId="0" fontId="0" fillId="11" borderId="3" xfId="0" applyFill="1" applyBorder="1"/>
    <xf numFmtId="0" fontId="0" fillId="12" borderId="3" xfId="0" applyFill="1" applyBorder="1"/>
    <xf numFmtId="0" fontId="0" fillId="12" borderId="5" xfId="0" applyFill="1" applyBorder="1"/>
    <xf numFmtId="2" fontId="0" fillId="0" borderId="9" xfId="0" applyNumberFormat="1" applyBorder="1"/>
    <xf numFmtId="0" fontId="6" fillId="5" borderId="3" xfId="0" applyFont="1" applyFill="1" applyBorder="1"/>
    <xf numFmtId="0" fontId="0" fillId="0" borderId="16" xfId="0" applyBorder="1"/>
    <xf numFmtId="0" fontId="0" fillId="0" borderId="17" xfId="0" applyBorder="1"/>
    <xf numFmtId="0" fontId="0" fillId="4" borderId="0" xfId="0" applyFill="1" applyAlignment="1">
      <alignment horizontal="center"/>
    </xf>
    <xf numFmtId="0" fontId="2" fillId="5" borderId="10" xfId="0" applyFont="1" applyFill="1" applyBorder="1" applyAlignment="1">
      <alignment horizontal="center" vertical="center" wrapText="1"/>
    </xf>
    <xf numFmtId="9" fontId="0" fillId="0" borderId="3" xfId="2" applyFont="1" applyBorder="1"/>
    <xf numFmtId="9" fontId="0" fillId="0" borderId="5" xfId="2" applyFont="1" applyBorder="1"/>
    <xf numFmtId="9" fontId="0" fillId="0" borderId="0" xfId="2" applyFont="1" applyBorder="1"/>
    <xf numFmtId="10" fontId="0" fillId="0" borderId="0" xfId="2" applyNumberFormat="1" applyFont="1" applyBorder="1"/>
    <xf numFmtId="2" fontId="0" fillId="13" borderId="13" xfId="0" applyNumberFormat="1" applyFill="1" applyBorder="1"/>
    <xf numFmtId="9" fontId="0" fillId="0" borderId="9" xfId="2" applyFont="1" applyBorder="1"/>
    <xf numFmtId="0" fontId="2" fillId="5" borderId="1" xfId="0" applyFont="1" applyFill="1" applyBorder="1"/>
    <xf numFmtId="0" fontId="6" fillId="5" borderId="8" xfId="0" applyFont="1" applyFill="1" applyBorder="1"/>
    <xf numFmtId="0" fontId="6" fillId="5" borderId="2" xfId="0" applyFont="1" applyFill="1" applyBorder="1" applyAlignment="1">
      <alignment horizontal="center" wrapText="1"/>
    </xf>
    <xf numFmtId="10" fontId="0" fillId="0" borderId="9" xfId="2" applyNumberFormat="1" applyFont="1" applyBorder="1"/>
    <xf numFmtId="2" fontId="0" fillId="13" borderId="22" xfId="0" applyNumberFormat="1" applyFill="1" applyBorder="1"/>
    <xf numFmtId="0" fontId="0" fillId="7" borderId="0" xfId="0" applyFill="1"/>
    <xf numFmtId="0" fontId="0" fillId="7" borderId="3" xfId="0" applyFill="1" applyBorder="1"/>
    <xf numFmtId="0" fontId="0" fillId="7" borderId="4" xfId="0" applyFill="1" applyBorder="1"/>
    <xf numFmtId="0" fontId="2" fillId="5" borderId="23" xfId="0" applyFont="1" applyFill="1" applyBorder="1" applyAlignment="1">
      <alignment horizontal="center"/>
    </xf>
    <xf numFmtId="0" fontId="2" fillId="5" borderId="24" xfId="0" applyFont="1" applyFill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2" fillId="3" borderId="11" xfId="0" applyFont="1" applyFill="1" applyBorder="1" applyAlignment="1">
      <alignment vertical="center"/>
    </xf>
    <xf numFmtId="2" fontId="0" fillId="10" borderId="13" xfId="0" applyNumberFormat="1" applyFill="1" applyBorder="1"/>
    <xf numFmtId="2" fontId="0" fillId="10" borderId="22" xfId="0" applyNumberFormat="1" applyFill="1" applyBorder="1"/>
    <xf numFmtId="10" fontId="0" fillId="0" borderId="0" xfId="0" applyNumberFormat="1" applyBorder="1"/>
    <xf numFmtId="2" fontId="0" fillId="14" borderId="4" xfId="0" applyNumberFormat="1" applyFill="1" applyBorder="1"/>
    <xf numFmtId="10" fontId="0" fillId="0" borderId="9" xfId="0" applyNumberFormat="1" applyBorder="1"/>
    <xf numFmtId="9" fontId="0" fillId="0" borderId="1" xfId="2" applyFont="1" applyBorder="1"/>
    <xf numFmtId="10" fontId="0" fillId="0" borderId="8" xfId="0" applyNumberFormat="1" applyBorder="1"/>
    <xf numFmtId="2" fontId="0" fillId="0" borderId="2" xfId="0" applyNumberFormat="1" applyBorder="1"/>
    <xf numFmtId="2" fontId="0" fillId="0" borderId="4" xfId="0" applyNumberFormat="1" applyBorder="1" applyAlignment="1">
      <alignment horizontal="right"/>
    </xf>
    <xf numFmtId="2" fontId="0" fillId="0" borderId="6" xfId="0" applyNumberFormat="1" applyBorder="1" applyAlignment="1">
      <alignment horizontal="right"/>
    </xf>
    <xf numFmtId="2" fontId="0" fillId="14" borderId="4" xfId="0" applyNumberFormat="1" applyFill="1" applyBorder="1" applyAlignment="1">
      <alignment horizontal="right"/>
    </xf>
    <xf numFmtId="3" fontId="0" fillId="0" borderId="2" xfId="0" applyNumberFormat="1" applyBorder="1" applyAlignment="1">
      <alignment horizontal="center"/>
    </xf>
    <xf numFmtId="3" fontId="0" fillId="0" borderId="12" xfId="0" applyNumberFormat="1" applyBorder="1"/>
    <xf numFmtId="2" fontId="0" fillId="0" borderId="12" xfId="0" applyNumberFormat="1" applyBorder="1"/>
    <xf numFmtId="0" fontId="2" fillId="5" borderId="0" xfId="0" applyFont="1" applyFill="1" applyBorder="1"/>
    <xf numFmtId="0" fontId="2" fillId="5" borderId="4" xfId="0" applyFont="1" applyFill="1" applyBorder="1" applyAlignment="1">
      <alignment horizontal="center" wrapText="1"/>
    </xf>
    <xf numFmtId="0" fontId="2" fillId="5" borderId="4" xfId="0" applyFont="1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10" xfId="0" applyFill="1" applyBorder="1"/>
    <xf numFmtId="0" fontId="0" fillId="0" borderId="25" xfId="0" applyBorder="1"/>
    <xf numFmtId="0" fontId="0" fillId="0" borderId="5" xfId="0" applyFill="1" applyBorder="1"/>
    <xf numFmtId="0" fontId="0" fillId="0" borderId="6" xfId="0" applyFill="1" applyBorder="1"/>
    <xf numFmtId="0" fontId="2" fillId="5" borderId="26" xfId="0" applyFont="1" applyFill="1" applyBorder="1" applyAlignment="1">
      <alignment horizontal="center"/>
    </xf>
    <xf numFmtId="0" fontId="2" fillId="5" borderId="8" xfId="0" applyFont="1" applyFill="1" applyBorder="1"/>
    <xf numFmtId="0" fontId="2" fillId="5" borderId="2" xfId="0" applyFont="1" applyFill="1" applyBorder="1" applyAlignment="1">
      <alignment horizontal="center" wrapText="1"/>
    </xf>
    <xf numFmtId="0" fontId="0" fillId="0" borderId="12" xfId="0" applyBorder="1" applyAlignment="1">
      <alignment horizontal="center"/>
    </xf>
    <xf numFmtId="3" fontId="0" fillId="0" borderId="12" xfId="0" applyNumberFormat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0" borderId="10" xfId="0" applyBorder="1" applyAlignment="1">
      <alignment horizontal="right"/>
    </xf>
    <xf numFmtId="0" fontId="0" fillId="2" borderId="0" xfId="0" applyFill="1" applyAlignment="1">
      <alignment horizontal="left"/>
    </xf>
    <xf numFmtId="0" fontId="0" fillId="0" borderId="6" xfId="0" applyBorder="1" applyAlignment="1">
      <alignment horizontal="right"/>
    </xf>
    <xf numFmtId="0" fontId="2" fillId="3" borderId="27" xfId="0" applyFont="1" applyFill="1" applyBorder="1" applyAlignment="1"/>
    <xf numFmtId="1" fontId="0" fillId="0" borderId="4" xfId="0" applyNumberFormat="1" applyBorder="1"/>
    <xf numFmtId="1" fontId="0" fillId="0" borderId="6" xfId="0" applyNumberFormat="1" applyBorder="1"/>
    <xf numFmtId="2" fontId="0" fillId="14" borderId="6" xfId="0" applyNumberFormat="1" applyFill="1" applyBorder="1" applyAlignment="1">
      <alignment horizontal="right"/>
    </xf>
    <xf numFmtId="2" fontId="0" fillId="0" borderId="0" xfId="0" applyNumberFormat="1" applyBorder="1" applyAlignment="1">
      <alignment horizontal="right" indent="1"/>
    </xf>
    <xf numFmtId="2" fontId="0" fillId="0" borderId="9" xfId="0" applyNumberFormat="1" applyBorder="1" applyAlignment="1">
      <alignment horizontal="right" indent="1"/>
    </xf>
    <xf numFmtId="0" fontId="0" fillId="15" borderId="0" xfId="0" applyFill="1"/>
    <xf numFmtId="0" fontId="0" fillId="15" borderId="0" xfId="0" quotePrefix="1" applyFill="1"/>
    <xf numFmtId="0" fontId="6" fillId="15" borderId="0" xfId="0" applyFont="1" applyFill="1"/>
    <xf numFmtId="0" fontId="6" fillId="0" borderId="0" xfId="0" applyFont="1"/>
    <xf numFmtId="0" fontId="0" fillId="18" borderId="0" xfId="0" applyFill="1"/>
    <xf numFmtId="0" fontId="0" fillId="20" borderId="3" xfId="0" applyFill="1" applyBorder="1"/>
    <xf numFmtId="0" fontId="0" fillId="20" borderId="0" xfId="0" applyFill="1" applyBorder="1"/>
    <xf numFmtId="0" fontId="0" fillId="20" borderId="4" xfId="0" applyFill="1" applyBorder="1"/>
    <xf numFmtId="0" fontId="0" fillId="20" borderId="5" xfId="0" applyFill="1" applyBorder="1"/>
    <xf numFmtId="0" fontId="0" fillId="20" borderId="9" xfId="0" applyFill="1" applyBorder="1"/>
    <xf numFmtId="0" fontId="0" fillId="20" borderId="6" xfId="0" applyFill="1" applyBorder="1"/>
    <xf numFmtId="0" fontId="14" fillId="18" borderId="0" xfId="0" applyFont="1" applyFill="1"/>
    <xf numFmtId="0" fontId="0" fillId="18" borderId="0" xfId="0" applyFill="1" applyAlignment="1">
      <alignment horizontal="left" wrapText="1"/>
    </xf>
    <xf numFmtId="0" fontId="14" fillId="18" borderId="0" xfId="0" applyFont="1" applyFill="1" applyAlignment="1">
      <alignment horizontal="center"/>
    </xf>
    <xf numFmtId="0" fontId="14" fillId="18" borderId="0" xfId="0" applyFont="1" applyFill="1" applyAlignment="1">
      <alignment horizontal="center" vertical="center"/>
    </xf>
    <xf numFmtId="0" fontId="14" fillId="18" borderId="0" xfId="0" applyFont="1" applyFill="1" applyAlignment="1">
      <alignment vertical="center" wrapText="1"/>
    </xf>
    <xf numFmtId="0" fontId="0" fillId="18" borderId="0" xfId="0" applyFill="1" applyAlignment="1">
      <alignment wrapText="1"/>
    </xf>
    <xf numFmtId="0" fontId="0" fillId="18" borderId="0" xfId="0" applyFill="1" applyAlignment="1">
      <alignment vertical="center" wrapText="1"/>
    </xf>
    <xf numFmtId="0" fontId="0" fillId="18" borderId="0" xfId="0" applyFill="1" applyAlignment="1">
      <alignment horizontal="left" vertical="center" wrapText="1"/>
    </xf>
    <xf numFmtId="0" fontId="0" fillId="18" borderId="0" xfId="0" applyFill="1" applyAlignment="1"/>
    <xf numFmtId="0" fontId="14" fillId="11" borderId="11" xfId="0" applyFont="1" applyFill="1" applyBorder="1" applyAlignment="1">
      <alignment horizontal="center"/>
    </xf>
    <xf numFmtId="0" fontId="14" fillId="11" borderId="11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0" fillId="17" borderId="0" xfId="0" applyFill="1"/>
    <xf numFmtId="0" fontId="0" fillId="0" borderId="0" xfId="0" applyAlignment="1"/>
    <xf numFmtId="2" fontId="0" fillId="0" borderId="27" xfId="0" applyNumberFormat="1" applyBorder="1"/>
    <xf numFmtId="2" fontId="0" fillId="0" borderId="10" xfId="0" applyNumberFormat="1" applyBorder="1"/>
    <xf numFmtId="2" fontId="0" fillId="0" borderId="28" xfId="0" applyNumberFormat="1" applyBorder="1"/>
    <xf numFmtId="0" fontId="0" fillId="8" borderId="5" xfId="0" applyFill="1" applyBorder="1"/>
    <xf numFmtId="2" fontId="0" fillId="0" borderId="29" xfId="0" applyNumberFormat="1" applyBorder="1"/>
    <xf numFmtId="0" fontId="0" fillId="12" borderId="1" xfId="0" applyFill="1" applyBorder="1"/>
    <xf numFmtId="2" fontId="0" fillId="15" borderId="10" xfId="0" applyNumberFormat="1" applyFill="1" applyBorder="1"/>
    <xf numFmtId="0" fontId="0" fillId="9" borderId="1" xfId="0" applyFill="1" applyBorder="1"/>
    <xf numFmtId="2" fontId="0" fillId="15" borderId="27" xfId="0" applyNumberFormat="1" applyFill="1" applyBorder="1"/>
    <xf numFmtId="0" fontId="0" fillId="9" borderId="5" xfId="0" applyFill="1" applyBorder="1"/>
    <xf numFmtId="2" fontId="0" fillId="15" borderId="28" xfId="0" applyNumberFormat="1" applyFill="1" applyBorder="1"/>
    <xf numFmtId="0" fontId="0" fillId="11" borderId="1" xfId="0" applyFill="1" applyBorder="1"/>
    <xf numFmtId="0" fontId="0" fillId="11" borderId="5" xfId="0" applyFill="1" applyBorder="1"/>
    <xf numFmtId="0" fontId="16" fillId="20" borderId="11" xfId="0" applyFont="1" applyFill="1" applyBorder="1" applyAlignment="1">
      <alignment horizontal="center"/>
    </xf>
    <xf numFmtId="0" fontId="16" fillId="20" borderId="15" xfId="0" applyFont="1" applyFill="1" applyBorder="1" applyAlignment="1">
      <alignment horizontal="center"/>
    </xf>
    <xf numFmtId="0" fontId="16" fillId="20" borderId="12" xfId="0" applyFont="1" applyFill="1" applyBorder="1" applyAlignment="1">
      <alignment horizontal="center"/>
    </xf>
    <xf numFmtId="0" fontId="2" fillId="20" borderId="0" xfId="0" applyFont="1" applyFill="1" applyBorder="1" applyAlignment="1">
      <alignment horizontal="center"/>
    </xf>
    <xf numFmtId="0" fontId="2" fillId="20" borderId="11" xfId="3" applyFont="1" applyFill="1" applyBorder="1" applyAlignment="1">
      <alignment horizontal="center"/>
    </xf>
    <xf numFmtId="0" fontId="2" fillId="20" borderId="15" xfId="3" applyFont="1" applyFill="1" applyBorder="1" applyAlignment="1">
      <alignment horizontal="center"/>
    </xf>
    <xf numFmtId="0" fontId="2" fillId="20" borderId="12" xfId="3" applyFont="1" applyFill="1" applyBorder="1" applyAlignment="1">
      <alignment horizontal="center"/>
    </xf>
    <xf numFmtId="0" fontId="15" fillId="5" borderId="0" xfId="0" applyFont="1" applyFill="1" applyAlignment="1">
      <alignment horizontal="center" vertical="center" wrapText="1"/>
    </xf>
    <xf numFmtId="0" fontId="14" fillId="17" borderId="0" xfId="0" applyFont="1" applyFill="1" applyAlignment="1">
      <alignment horizontal="center"/>
    </xf>
    <xf numFmtId="0" fontId="2" fillId="19" borderId="11" xfId="0" applyFont="1" applyFill="1" applyBorder="1" applyAlignment="1">
      <alignment horizontal="center"/>
    </xf>
    <xf numFmtId="0" fontId="2" fillId="19" borderId="15" xfId="0" applyFont="1" applyFill="1" applyBorder="1" applyAlignment="1">
      <alignment horizontal="center"/>
    </xf>
    <xf numFmtId="0" fontId="2" fillId="19" borderId="12" xfId="0" applyFont="1" applyFill="1" applyBorder="1" applyAlignment="1">
      <alignment horizontal="center"/>
    </xf>
    <xf numFmtId="0" fontId="2" fillId="20" borderId="3" xfId="0" applyFont="1" applyFill="1" applyBorder="1" applyAlignment="1">
      <alignment horizontal="center" vertical="center" wrapText="1"/>
    </xf>
    <xf numFmtId="0" fontId="2" fillId="20" borderId="0" xfId="0" applyFont="1" applyFill="1" applyBorder="1" applyAlignment="1">
      <alignment horizontal="center" vertical="center" wrapText="1"/>
    </xf>
    <xf numFmtId="0" fontId="13" fillId="16" borderId="0" xfId="0" applyFont="1" applyFill="1" applyAlignment="1">
      <alignment horizontal="center"/>
    </xf>
    <xf numFmtId="0" fontId="12" fillId="14" borderId="1" xfId="0" applyFont="1" applyFill="1" applyBorder="1" applyAlignment="1">
      <alignment horizontal="center"/>
    </xf>
    <xf numFmtId="0" fontId="12" fillId="14" borderId="8" xfId="0" applyFont="1" applyFill="1" applyBorder="1" applyAlignment="1">
      <alignment horizontal="center"/>
    </xf>
    <xf numFmtId="0" fontId="12" fillId="14" borderId="2" xfId="0" applyFont="1" applyFill="1" applyBorder="1" applyAlignment="1">
      <alignment horizontal="center"/>
    </xf>
    <xf numFmtId="0" fontId="12" fillId="14" borderId="11" xfId="0" applyFont="1" applyFill="1" applyBorder="1" applyAlignment="1">
      <alignment horizontal="center"/>
    </xf>
    <xf numFmtId="0" fontId="12" fillId="14" borderId="15" xfId="0" applyFont="1" applyFill="1" applyBorder="1" applyAlignment="1">
      <alignment horizontal="center"/>
    </xf>
    <xf numFmtId="0" fontId="12" fillId="14" borderId="12" xfId="0" applyFont="1" applyFill="1" applyBorder="1" applyAlignment="1">
      <alignment horizontal="center"/>
    </xf>
    <xf numFmtId="0" fontId="0" fillId="17" borderId="0" xfId="0" applyFill="1" applyAlignment="1">
      <alignment horizontal="center"/>
    </xf>
    <xf numFmtId="0" fontId="12" fillId="15" borderId="0" xfId="0" applyFont="1" applyFill="1" applyBorder="1" applyAlignment="1">
      <alignment horizontal="center"/>
    </xf>
    <xf numFmtId="0" fontId="12" fillId="15" borderId="4" xfId="0" applyFont="1" applyFill="1" applyBorder="1" applyAlignment="1">
      <alignment horizontal="center"/>
    </xf>
    <xf numFmtId="0" fontId="12" fillId="14" borderId="0" xfId="0" applyFont="1" applyFill="1" applyBorder="1" applyAlignment="1">
      <alignment horizontal="center"/>
    </xf>
    <xf numFmtId="0" fontId="12" fillId="14" borderId="4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13" borderId="15" xfId="0" applyFill="1" applyBorder="1" applyAlignment="1">
      <alignment horizontal="left" vertical="center" wrapText="1"/>
    </xf>
    <xf numFmtId="0" fontId="0" fillId="13" borderId="12" xfId="0" applyFill="1" applyBorder="1" applyAlignment="1">
      <alignment horizontal="left" vertical="center" wrapText="1"/>
    </xf>
    <xf numFmtId="0" fontId="0" fillId="13" borderId="15" xfId="0" applyFill="1" applyBorder="1" applyAlignment="1">
      <alignment horizontal="left"/>
    </xf>
    <xf numFmtId="0" fontId="0" fillId="13" borderId="12" xfId="0" applyFill="1" applyBorder="1" applyAlignment="1">
      <alignment horizontal="left"/>
    </xf>
    <xf numFmtId="0" fontId="2" fillId="5" borderId="0" xfId="0" applyFont="1" applyFill="1" applyAlignment="1">
      <alignment horizontal="center" vertical="center" wrapText="1"/>
    </xf>
    <xf numFmtId="0" fontId="8" fillId="15" borderId="0" xfId="0" applyFont="1" applyFill="1" applyAlignment="1">
      <alignment horizontal="center"/>
    </xf>
    <xf numFmtId="0" fontId="0" fillId="13" borderId="8" xfId="0" applyFill="1" applyBorder="1" applyAlignment="1">
      <alignment horizontal="left" wrapText="1"/>
    </xf>
    <xf numFmtId="0" fontId="0" fillId="13" borderId="2" xfId="0" applyFill="1" applyBorder="1" applyAlignment="1">
      <alignment horizontal="left" wrapText="1"/>
    </xf>
    <xf numFmtId="0" fontId="0" fillId="13" borderId="9" xfId="0" applyFill="1" applyBorder="1" applyAlignment="1">
      <alignment horizontal="left" wrapText="1"/>
    </xf>
    <xf numFmtId="0" fontId="0" fillId="13" borderId="6" xfId="0" applyFill="1" applyBorder="1" applyAlignment="1">
      <alignment horizontal="left" wrapText="1"/>
    </xf>
    <xf numFmtId="0" fontId="0" fillId="13" borderId="15" xfId="0" applyFill="1" applyBorder="1" applyAlignment="1">
      <alignment horizontal="left" wrapText="1"/>
    </xf>
    <xf numFmtId="0" fontId="0" fillId="13" borderId="12" xfId="0" applyFill="1" applyBorder="1" applyAlignment="1">
      <alignment horizontal="left" wrapText="1"/>
    </xf>
    <xf numFmtId="0" fontId="14" fillId="11" borderId="1" xfId="0" applyFont="1" applyFill="1" applyBorder="1" applyAlignment="1">
      <alignment horizontal="center" vertical="center"/>
    </xf>
    <xf numFmtId="0" fontId="14" fillId="11" borderId="5" xfId="0" applyFont="1" applyFill="1" applyBorder="1" applyAlignment="1">
      <alignment horizontal="center" vertical="center"/>
    </xf>
  </cellXfs>
  <cellStyles count="4">
    <cellStyle name="Hipervínculo" xfId="3" builtinId="8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003399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8982214149805623E-2"/>
          <c:y val="1.2683190695217674E-2"/>
          <c:w val="0.96705325458906799"/>
          <c:h val="0.96119930034018641"/>
        </c:manualLayout>
      </c:layout>
      <c:scatterChart>
        <c:scatterStyle val="lineMarker"/>
        <c:varyColors val="0"/>
        <c:ser>
          <c:idx val="0"/>
          <c:order val="0"/>
          <c:tx>
            <c:strRef>
              <c:f>'Grafica de Mapas Tematicos'!$AT$46</c:f>
              <c:strCache>
                <c:ptCount val="1"/>
                <c:pt idx="0">
                  <c:v>Global Recesion</c:v>
                </c:pt>
              </c:strCache>
            </c:strRef>
          </c:tx>
          <c:spPr>
            <a:ln w="0">
              <a:solidFill>
                <a:schemeClr val="tx1">
                  <a:alpha val="0"/>
                </a:schemeClr>
              </a:solidFill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Pt>
            <c:idx val="0"/>
            <c:marker>
              <c:spPr>
                <a:solidFill>
                  <a:schemeClr val="accent6">
                    <a:lumMod val="60000"/>
                    <a:lumOff val="40000"/>
                  </a:schemeClr>
                </a:solidFill>
                <a:ln>
                  <a:solidFill>
                    <a:schemeClr val="tx1"/>
                  </a:solidFill>
                </a:ln>
              </c:spPr>
            </c:marker>
            <c:bubble3D val="0"/>
          </c:dPt>
          <c:dLbls>
            <c:dLbl>
              <c:idx val="0"/>
              <c:layout>
                <c:manualLayout>
                  <c:x val="-0.13646131805157596"/>
                  <c:y val="-3.453667822421646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ysClr val="windowText" lastClr="000000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Tematicos'!$AU$46</c:f>
              <c:numCache>
                <c:formatCode>0.00</c:formatCode>
                <c:ptCount val="1"/>
                <c:pt idx="0">
                  <c:v>3.738258227527123</c:v>
                </c:pt>
              </c:numCache>
            </c:numRef>
          </c:xVal>
          <c:yVal>
            <c:numRef>
              <c:f>'Grafica de Mapas Tematicos'!$AV$46</c:f>
              <c:numCache>
                <c:formatCode>0.00</c:formatCode>
                <c:ptCount val="1"/>
                <c:pt idx="0">
                  <c:v>5.2454668742779651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'Grafica de Mapas Tematicos'!$AT$47</c:f>
              <c:strCache>
                <c:ptCount val="1"/>
                <c:pt idx="0">
                  <c:v>Global climate framework uncertainty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chemeClr val="accent6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Pt>
            <c:idx val="0"/>
            <c:marker>
              <c:symbol val="circle"/>
              <c:size val="40"/>
            </c:marker>
            <c:bubble3D val="0"/>
          </c:dPt>
          <c:dLbls>
            <c:dLbl>
              <c:idx val="0"/>
              <c:layout>
                <c:manualLayout>
                  <c:x val="-0.15162895972620186"/>
                  <c:y val="-3.7791188268087167E-2"/>
                </c:manualLayout>
              </c:layout>
              <c:tx>
                <c:rich>
                  <a:bodyPr/>
                  <a:lstStyle/>
                  <a:p>
                    <a:r>
                      <a:rPr lang="es-CO">
                        <a:solidFill>
                          <a:sysClr val="windowText" lastClr="000000"/>
                        </a:solidFill>
                      </a:rPr>
                      <a:t>Climate framework </a:t>
                    </a:r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ysClr val="windowText" lastClr="000000"/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Tematicos'!$AU$47</c:f>
              <c:numCache>
                <c:formatCode>0.00</c:formatCode>
                <c:ptCount val="1"/>
                <c:pt idx="0">
                  <c:v>7.07981220657277</c:v>
                </c:pt>
              </c:numCache>
            </c:numRef>
          </c:xVal>
          <c:yVal>
            <c:numRef>
              <c:f>'Grafica de Mapas Tematicos'!$AV$47</c:f>
              <c:numCache>
                <c:formatCode>0.00</c:formatCode>
                <c:ptCount val="1"/>
                <c:pt idx="0">
                  <c:v>7.8972940751758811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'Grafica de Mapas Tematicos'!$AT$48</c:f>
              <c:strCache>
                <c:ptCount val="1"/>
                <c:pt idx="0">
                  <c:v>Large scale accidents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0.16619319086278256"/>
                  <c:y val="1.792228047653897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ysClr val="windowText" lastClr="000000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Tematicos'!$AU$48</c:f>
              <c:numCache>
                <c:formatCode>0.00</c:formatCode>
                <c:ptCount val="1"/>
                <c:pt idx="0">
                  <c:v>4.5829647171759245</c:v>
                </c:pt>
              </c:numCache>
            </c:numRef>
          </c:xVal>
          <c:yVal>
            <c:numRef>
              <c:f>'Grafica de Mapas Tematicos'!$AV$48</c:f>
              <c:numCache>
                <c:formatCode>0.00</c:formatCode>
                <c:ptCount val="1"/>
                <c:pt idx="0">
                  <c:v>7.1584743754675388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'Grafica de Mapas Tematicos'!$AT$49</c:f>
              <c:strCache>
                <c:ptCount val="1"/>
                <c:pt idx="0">
                  <c:v>Capital market constraints</c:v>
                </c:pt>
              </c:strCache>
            </c:strRef>
          </c:tx>
          <c:spPr>
            <a:ln w="28575">
              <a:solidFill>
                <a:schemeClr val="tx1"/>
              </a:solidFill>
            </a:ln>
          </c:spPr>
          <c:marker>
            <c:symbol val="circle"/>
            <c:size val="4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Pt>
            <c:idx val="0"/>
            <c:marker>
              <c:spPr>
                <a:solidFill>
                  <a:schemeClr val="accent6">
                    <a:lumMod val="60000"/>
                    <a:lumOff val="40000"/>
                  </a:schemeClr>
                </a:solidFill>
                <a:ln>
                  <a:solidFill>
                    <a:schemeClr val="tx1"/>
                  </a:solidFill>
                </a:ln>
              </c:spPr>
            </c:marker>
            <c:bubble3D val="0"/>
          </c:dPt>
          <c:dLbls>
            <c:dLbl>
              <c:idx val="0"/>
              <c:layout>
                <c:manualLayout>
                  <c:x val="-9.032055873925502E-3"/>
                  <c:y val="-7.2130308374624584E-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ysClr val="windowText" lastClr="000000"/>
                    </a:solidFill>
                  </a:defRPr>
                </a:pPr>
                <a:endParaRPr lang="es-CO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Tematicos'!$AU$49</c:f>
              <c:numCache>
                <c:formatCode>0.00</c:formatCode>
                <c:ptCount val="1"/>
                <c:pt idx="0">
                  <c:v>10.605863375200942</c:v>
                </c:pt>
              </c:numCache>
            </c:numRef>
          </c:xVal>
          <c:yVal>
            <c:numRef>
              <c:f>'Grafica de Mapas Tematicos'!$AV$49</c:f>
              <c:numCache>
                <c:formatCode>0.00</c:formatCode>
                <c:ptCount val="1"/>
                <c:pt idx="0">
                  <c:v>7.6826443430763334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'Grafica de Mapas Tematicos'!$AT$50</c:f>
              <c:strCache>
                <c:ptCount val="1"/>
                <c:pt idx="0">
                  <c:v>Commodity prices &amp; volatility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4.55522723654887E-2"/>
                  <c:y val="-8.6718895594134038E-2"/>
                </c:manualLayout>
              </c:layout>
              <c:tx>
                <c:rich>
                  <a:bodyPr/>
                  <a:lstStyle/>
                  <a:p>
                    <a:r>
                      <a:rPr lang="en-US">
                        <a:solidFill>
                          <a:sysClr val="windowText" lastClr="000000"/>
                        </a:solidFill>
                      </a:rPr>
                      <a:t>Commodity prices </a:t>
                    </a:r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ysClr val="windowText" lastClr="000000"/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Tematicos'!$AU$50</c:f>
              <c:numCache>
                <c:formatCode>0.00</c:formatCode>
                <c:ptCount val="1"/>
                <c:pt idx="0">
                  <c:v>7.5365949746846415</c:v>
                </c:pt>
              </c:numCache>
            </c:numRef>
          </c:xVal>
          <c:yVal>
            <c:numRef>
              <c:f>'Grafica de Mapas Tematicos'!$AV$50</c:f>
              <c:numCache>
                <c:formatCode>0.00</c:formatCode>
                <c:ptCount val="1"/>
                <c:pt idx="0">
                  <c:v>7.7245603120274211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'Grafica de Mapas Tematicos'!$AT$51</c:f>
              <c:strCache>
                <c:ptCount val="1"/>
                <c:pt idx="0">
                  <c:v>Energy prices &amp; volatility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1.7603470232410059E-2"/>
                  <c:y val="3.6270230711089251E-2"/>
                </c:manualLayout>
              </c:layout>
              <c:tx>
                <c:rich>
                  <a:bodyPr/>
                  <a:lstStyle/>
                  <a:p>
                    <a:r>
                      <a:rPr lang="en-US">
                        <a:solidFill>
                          <a:sysClr val="windowText" lastClr="000000"/>
                        </a:solidFill>
                      </a:rPr>
                      <a:t>Energy prices </a:t>
                    </a:r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ysClr val="windowText" lastClr="000000"/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Tematicos'!$AU$51</c:f>
              <c:numCache>
                <c:formatCode>0.00</c:formatCode>
                <c:ptCount val="1"/>
                <c:pt idx="0">
                  <c:v>7.2294926126638099</c:v>
                </c:pt>
              </c:numCache>
            </c:numRef>
          </c:xVal>
          <c:yVal>
            <c:numRef>
              <c:f>'Grafica de Mapas Tematicos'!$AV$51</c:f>
              <c:numCache>
                <c:formatCode>0.00</c:formatCode>
                <c:ptCount val="1"/>
                <c:pt idx="0">
                  <c:v>7.4313479505212241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'Grafica de Mapas Tematicos'!$AT$52</c:f>
              <c:strCache>
                <c:ptCount val="1"/>
                <c:pt idx="0">
                  <c:v>Currency uncertainty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0.17273290751353071"/>
                  <c:y val="-1.686778402978568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ysClr val="windowText" lastClr="000000"/>
                    </a:solidFill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Tematicos'!$AU$52</c:f>
              <c:numCache>
                <c:formatCode>0.00</c:formatCode>
                <c:ptCount val="1"/>
                <c:pt idx="0">
                  <c:v>4.3283250922219603</c:v>
                </c:pt>
              </c:numCache>
            </c:numRef>
          </c:xVal>
          <c:yVal>
            <c:numRef>
              <c:f>'Grafica de Mapas Tematicos'!$AV$52</c:f>
              <c:numCache>
                <c:formatCode>0.00</c:formatCode>
                <c:ptCount val="1"/>
                <c:pt idx="0">
                  <c:v>7.9126566370956839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'Grafica de Mapas Tematicos'!$AT$53</c:f>
              <c:strCache>
                <c:ptCount val="1"/>
                <c:pt idx="0">
                  <c:v>Energy water food nexus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0.18519460362941739"/>
                  <c:y val="-2.916357732160782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ysClr val="windowText" lastClr="000000"/>
                    </a:solidFill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Tematicos'!$AU$53</c:f>
              <c:numCache>
                <c:formatCode>0.00</c:formatCode>
                <c:ptCount val="1"/>
                <c:pt idx="0">
                  <c:v>6.8370761832694606</c:v>
                </c:pt>
              </c:numCache>
            </c:numRef>
          </c:xVal>
          <c:yVal>
            <c:numRef>
              <c:f>'Grafica de Mapas Tematicos'!$AV$53</c:f>
              <c:numCache>
                <c:formatCode>0.00</c:formatCode>
                <c:ptCount val="1"/>
                <c:pt idx="0">
                  <c:v>3.9848812095032398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'Grafica de Mapas Tematicos'!$AT$54</c:f>
              <c:strCache>
                <c:ptCount val="1"/>
                <c:pt idx="0">
                  <c:v>Talent scarcity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0.12368672397325692"/>
                  <c:y val="4.247131608099082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ysClr val="windowText" lastClr="000000"/>
                    </a:solidFill>
                  </a:defRPr>
                </a:pPr>
                <a:endParaRPr lang="es-CO"/>
              </a:p>
            </c:tx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Tematicos'!$AU$54</c:f>
              <c:numCache>
                <c:formatCode>0.00</c:formatCode>
                <c:ptCount val="1"/>
                <c:pt idx="0">
                  <c:v>6.5594472380208462</c:v>
                </c:pt>
              </c:numCache>
            </c:numRef>
          </c:xVal>
          <c:yVal>
            <c:numRef>
              <c:f>'Grafica de Mapas Tematicos'!$AV$54</c:f>
              <c:numCache>
                <c:formatCode>0.00</c:formatCode>
                <c:ptCount val="1"/>
                <c:pt idx="0">
                  <c:v>3.5670840787119857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'Grafica de Mapas Tematicos'!$AT$55</c:f>
              <c:strCache>
                <c:ptCount val="1"/>
                <c:pt idx="0">
                  <c:v>Energy poverty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Pt>
            <c:idx val="0"/>
            <c:marker>
              <c:spPr>
                <a:solidFill>
                  <a:schemeClr val="accent6">
                    <a:lumMod val="60000"/>
                    <a:lumOff val="40000"/>
                  </a:schemeClr>
                </a:solidFill>
                <a:ln>
                  <a:solidFill>
                    <a:schemeClr val="tx1"/>
                  </a:solidFill>
                </a:ln>
              </c:spPr>
            </c:marker>
            <c:bubble3D val="0"/>
          </c:dPt>
          <c:dLbls>
            <c:dLbl>
              <c:idx val="0"/>
              <c:layout>
                <c:manualLayout>
                  <c:x val="-4.8716073702642471E-2"/>
                  <c:y val="-5.444797702886984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ysClr val="windowText" lastClr="000000"/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Tematicos'!$AU$55</c:f>
              <c:numCache>
                <c:formatCode>0.00</c:formatCode>
                <c:ptCount val="1"/>
                <c:pt idx="0">
                  <c:v>8.7258542656599545</c:v>
                </c:pt>
              </c:numCache>
            </c:numRef>
          </c:xVal>
          <c:yVal>
            <c:numRef>
              <c:f>'Grafica de Mapas Tematicos'!$AV$55</c:f>
              <c:numCache>
                <c:formatCode>0.00</c:formatCode>
                <c:ptCount val="1"/>
                <c:pt idx="0">
                  <c:v>7.7456124245270033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'Grafica de Mapas Tematicos'!$AT$56</c:f>
              <c:strCache>
                <c:ptCount val="1"/>
                <c:pt idx="0">
                  <c:v>Energy affordability 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1.4669790671760632E-2"/>
                  <c:y val="3.0761638532631082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ysClr val="windowText" lastClr="000000"/>
                    </a:solidFill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Tematicos'!$AU$56</c:f>
              <c:numCache>
                <c:formatCode>0.00</c:formatCode>
                <c:ptCount val="1"/>
                <c:pt idx="0">
                  <c:v>7.0287155435236368</c:v>
                </c:pt>
              </c:numCache>
            </c:numRef>
          </c:xVal>
          <c:yVal>
            <c:numRef>
              <c:f>'Grafica de Mapas Tematicos'!$AV$56</c:f>
              <c:numCache>
                <c:formatCode>0.00</c:formatCode>
                <c:ptCount val="1"/>
                <c:pt idx="0">
                  <c:v>6.3564930658505396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'Grafica de Mapas Tematicos'!$AT$57</c:f>
              <c:strCache>
                <c:ptCount val="1"/>
                <c:pt idx="0">
                  <c:v>Corruption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5.523941652385767E-3"/>
                  <c:y val="-3.8144751242339945E-3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ysClr val="windowText" lastClr="000000"/>
                      </a:solidFill>
                    </a:defRPr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es-CO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Tematicos'!$AU$57</c:f>
              <c:numCache>
                <c:formatCode>0.00</c:formatCode>
                <c:ptCount val="1"/>
                <c:pt idx="0">
                  <c:v>13.707239034795361</c:v>
                </c:pt>
              </c:numCache>
            </c:numRef>
          </c:xVal>
          <c:yVal>
            <c:numRef>
              <c:f>'Grafica de Mapas Tematicos'!$AV$57</c:f>
              <c:numCache>
                <c:formatCode>0.00</c:formatCode>
                <c:ptCount val="1"/>
                <c:pt idx="0">
                  <c:v>4.9772901797953804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'Grafica de Mapas Tematicos'!$C$46</c:f>
              <c:strCache>
                <c:ptCount val="1"/>
                <c:pt idx="0">
                  <c:v>Global Recesion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</c:spPr>
          </c:marker>
          <c:dPt>
            <c:idx val="0"/>
            <c:marker>
              <c:symbol val="circle"/>
              <c:size val="40"/>
            </c:marker>
            <c:bubble3D val="0"/>
          </c:dPt>
          <c:dLbls>
            <c:dLbl>
              <c:idx val="0"/>
              <c:layout>
                <c:manualLayout>
                  <c:x val="-4.6750636739891757E-2"/>
                  <c:y val="5.2820801989978128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Tematicos'!$D$46</c:f>
              <c:numCache>
                <c:formatCode>General</c:formatCode>
                <c:ptCount val="1"/>
                <c:pt idx="0">
                  <c:v>14.3</c:v>
                </c:pt>
              </c:numCache>
            </c:numRef>
          </c:xVal>
          <c:yVal>
            <c:numRef>
              <c:f>'Grafica de Mapas Tematicos'!$E$46</c:f>
              <c:numCache>
                <c:formatCode>General</c:formatCode>
                <c:ptCount val="1"/>
                <c:pt idx="0">
                  <c:v>10.1</c:v>
                </c:pt>
              </c:numCache>
            </c:numRef>
          </c:yVal>
          <c:smooth val="0"/>
        </c:ser>
        <c:ser>
          <c:idx val="13"/>
          <c:order val="13"/>
          <c:tx>
            <c:strRef>
              <c:f>'Grafica de Mapas Tematicos'!$C$47</c:f>
              <c:strCache>
                <c:ptCount val="1"/>
                <c:pt idx="0">
                  <c:v>Global climate framework uncertainty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Pt>
            <c:idx val="0"/>
            <c:marker>
              <c:symbol val="circle"/>
              <c:size val="40"/>
            </c:marker>
            <c:bubble3D val="0"/>
          </c:dPt>
          <c:dLbls>
            <c:dLbl>
              <c:idx val="0"/>
              <c:layout>
                <c:manualLayout>
                  <c:x val="-9.0673849888570524E-2"/>
                  <c:y val="-5.4171235698032019E-2"/>
                </c:manualLayout>
              </c:layout>
              <c:tx>
                <c:rich>
                  <a:bodyPr/>
                  <a:lstStyle/>
                  <a:p>
                    <a:r>
                      <a:rPr lang="en-US" b="1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 climate framework  WEC</a:t>
                    </a:r>
                    <a:endParaRPr lang="en-US"/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Tematicos'!$D$47</c:f>
              <c:numCache>
                <c:formatCode>General</c:formatCode>
                <c:ptCount val="1"/>
                <c:pt idx="0">
                  <c:v>12.2</c:v>
                </c:pt>
              </c:numCache>
            </c:numRef>
          </c:xVal>
          <c:yVal>
            <c:numRef>
              <c:f>'Grafica de Mapas Tematicos'!$E$47</c:f>
              <c:numCache>
                <c:formatCode>General</c:formatCode>
                <c:ptCount val="1"/>
                <c:pt idx="0">
                  <c:v>11.6</c:v>
                </c:pt>
              </c:numCache>
            </c:numRef>
          </c:yVal>
          <c:smooth val="0"/>
        </c:ser>
        <c:ser>
          <c:idx val="14"/>
          <c:order val="14"/>
          <c:tx>
            <c:strRef>
              <c:f>'Grafica de Mapas Tematicos'!$C$48</c:f>
              <c:strCache>
                <c:ptCount val="1"/>
                <c:pt idx="0">
                  <c:v>Large scale accidents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3.7905921680993315E-3"/>
                  <c:y val="2.031569307306851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Tematicos'!$D$48</c:f>
              <c:numCache>
                <c:formatCode>General</c:formatCode>
                <c:ptCount val="1"/>
                <c:pt idx="0">
                  <c:v>10.8</c:v>
                </c:pt>
              </c:numCache>
            </c:numRef>
          </c:xVal>
          <c:yVal>
            <c:numRef>
              <c:f>'Grafica de Mapas Tematicos'!$E$48</c:f>
              <c:numCache>
                <c:formatCode>General</c:formatCode>
                <c:ptCount val="1"/>
                <c:pt idx="0">
                  <c:v>7.1</c:v>
                </c:pt>
              </c:numCache>
            </c:numRef>
          </c:yVal>
          <c:smooth val="0"/>
        </c:ser>
        <c:ser>
          <c:idx val="15"/>
          <c:order val="15"/>
          <c:tx>
            <c:strRef>
              <c:f>'Grafica de Mapas Tematicos'!$C$49</c:f>
              <c:strCache>
                <c:ptCount val="1"/>
                <c:pt idx="0">
                  <c:v>Capital market constraints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Tematicos'!$D$49</c:f>
              <c:numCache>
                <c:formatCode>General</c:formatCode>
                <c:ptCount val="1"/>
                <c:pt idx="0">
                  <c:v>12.4</c:v>
                </c:pt>
              </c:numCache>
            </c:numRef>
          </c:xVal>
          <c:yVal>
            <c:numRef>
              <c:f>'Grafica de Mapas Tematicos'!$E$49</c:f>
              <c:numCache>
                <c:formatCode>General</c:formatCode>
                <c:ptCount val="1"/>
                <c:pt idx="0">
                  <c:v>8.8000000000000007</c:v>
                </c:pt>
              </c:numCache>
            </c:numRef>
          </c:yVal>
          <c:smooth val="0"/>
        </c:ser>
        <c:ser>
          <c:idx val="16"/>
          <c:order val="16"/>
          <c:tx>
            <c:strRef>
              <c:f>'Grafica de Mapas Tematicos'!$C$50</c:f>
              <c:strCache>
                <c:ptCount val="1"/>
                <c:pt idx="0">
                  <c:v>Commodity prices &amp; volatility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1536452603789622"/>
                  <c:y val="-5.628796390478912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 i="0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Tematicos'!$D$50</c:f>
              <c:numCache>
                <c:formatCode>General</c:formatCode>
                <c:ptCount val="1"/>
                <c:pt idx="0">
                  <c:v>11.9</c:v>
                </c:pt>
              </c:numCache>
            </c:numRef>
          </c:xVal>
          <c:yVal>
            <c:numRef>
              <c:f>'Grafica de Mapas Tematicos'!$E$50</c:f>
              <c:numCache>
                <c:formatCode>General</c:formatCode>
                <c:ptCount val="1"/>
                <c:pt idx="0">
                  <c:v>9</c:v>
                </c:pt>
              </c:numCache>
            </c:numRef>
          </c:yVal>
          <c:smooth val="0"/>
        </c:ser>
        <c:ser>
          <c:idx val="17"/>
          <c:order val="17"/>
          <c:tx>
            <c:strRef>
              <c:f>'Grafica de Mapas Tematicos'!$C$51</c:f>
              <c:strCache>
                <c:ptCount val="1"/>
                <c:pt idx="0">
                  <c:v>Energy prices &amp; volatility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Pt>
            <c:idx val="0"/>
            <c:marker>
              <c:symbol val="circle"/>
              <c:size val="40"/>
            </c:marker>
            <c:bubble3D val="0"/>
          </c:dPt>
          <c:dLbls>
            <c:dLbl>
              <c:idx val="0"/>
              <c:layout>
                <c:manualLayout>
                  <c:x val="-5.306829035339073E-2"/>
                  <c:y val="5.228875478398579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Tematicos'!$D$51</c:f>
              <c:numCache>
                <c:formatCode>General</c:formatCode>
                <c:ptCount val="1"/>
                <c:pt idx="0">
                  <c:v>15.3</c:v>
                </c:pt>
              </c:numCache>
            </c:numRef>
          </c:xVal>
          <c:yVal>
            <c:numRef>
              <c:f>'Grafica de Mapas Tematicos'!$E$51</c:f>
              <c:numCache>
                <c:formatCode>General</c:formatCode>
                <c:ptCount val="1"/>
                <c:pt idx="0">
                  <c:v>11.4</c:v>
                </c:pt>
              </c:numCache>
            </c:numRef>
          </c:yVal>
          <c:smooth val="0"/>
        </c:ser>
        <c:ser>
          <c:idx val="18"/>
          <c:order val="18"/>
          <c:tx>
            <c:strRef>
              <c:f>'Grafica de Mapas Tematicos'!$C$52</c:f>
              <c:strCache>
                <c:ptCount val="1"/>
                <c:pt idx="0">
                  <c:v>Currency uncertainty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9.9818927093282397E-2"/>
                  <c:y val="-5.2820801989978128E-2"/>
                </c:manualLayout>
              </c:layout>
              <c:tx>
                <c:rich>
                  <a:bodyPr/>
                  <a:lstStyle/>
                  <a:p>
                    <a:r>
                      <a:rPr lang="en-US" b="1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Currency uncertainty </a:t>
                    </a:r>
                    <a:endParaRPr lang="en-US"/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Tematicos'!$D$52</c:f>
              <c:numCache>
                <c:formatCode>General</c:formatCode>
                <c:ptCount val="1"/>
                <c:pt idx="0">
                  <c:v>5.5</c:v>
                </c:pt>
              </c:numCache>
            </c:numRef>
          </c:xVal>
          <c:yVal>
            <c:numRef>
              <c:f>'Grafica de Mapas Tematicos'!$E$52</c:f>
              <c:numCache>
                <c:formatCode>General</c:formatCode>
                <c:ptCount val="1"/>
                <c:pt idx="0">
                  <c:v>5.4</c:v>
                </c:pt>
              </c:numCache>
            </c:numRef>
          </c:yVal>
          <c:smooth val="0"/>
        </c:ser>
        <c:ser>
          <c:idx val="19"/>
          <c:order val="19"/>
          <c:tx>
            <c:strRef>
              <c:f>'Grafica de Mapas Tematicos'!$C$53</c:f>
              <c:strCache>
                <c:ptCount val="1"/>
                <c:pt idx="0">
                  <c:v>Energy water food nexus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1480937599490608"/>
                  <c:y val="-5.269314905240089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Tematicos'!$D$53</c:f>
              <c:numCache>
                <c:formatCode>General</c:formatCode>
                <c:ptCount val="1"/>
                <c:pt idx="0">
                  <c:v>7.8</c:v>
                </c:pt>
              </c:numCache>
            </c:numRef>
          </c:xVal>
          <c:yVal>
            <c:numRef>
              <c:f>'Grafica de Mapas Tematicos'!$E$53</c:f>
              <c:numCache>
                <c:formatCode>General</c:formatCode>
                <c:ptCount val="1"/>
                <c:pt idx="0">
                  <c:v>4.7</c:v>
                </c:pt>
              </c:numCache>
            </c:numRef>
          </c:yVal>
          <c:smooth val="0"/>
        </c:ser>
        <c:ser>
          <c:idx val="20"/>
          <c:order val="20"/>
          <c:tx>
            <c:strRef>
              <c:f>'Grafica de Mapas Tematicos'!$C$54</c:f>
              <c:strCache>
                <c:ptCount val="1"/>
                <c:pt idx="0">
                  <c:v>Talent scarcity</c:v>
                </c:pt>
              </c:strCache>
            </c:strRef>
          </c:tx>
          <c:spPr>
            <a:ln w="28575">
              <a:solidFill>
                <a:schemeClr val="tx1"/>
              </a:solidFill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Tematicos'!$D$54</c:f>
              <c:numCache>
                <c:formatCode>General</c:formatCode>
                <c:ptCount val="1"/>
                <c:pt idx="0">
                  <c:v>8.9</c:v>
                </c:pt>
              </c:numCache>
            </c:numRef>
          </c:xVal>
          <c:yVal>
            <c:numRef>
              <c:f>'Grafica de Mapas Tematicos'!$E$54</c:f>
              <c:numCache>
                <c:formatCode>General</c:formatCode>
                <c:ptCount val="1"/>
                <c:pt idx="0">
                  <c:v>3.7</c:v>
                </c:pt>
              </c:numCache>
            </c:numRef>
          </c:yVal>
          <c:smooth val="0"/>
        </c:ser>
        <c:ser>
          <c:idx val="21"/>
          <c:order val="21"/>
          <c:tx>
            <c:strRef>
              <c:f>'Grafica de Mapas Tematicos'!$C$55</c:f>
              <c:strCache>
                <c:ptCount val="1"/>
                <c:pt idx="0">
                  <c:v>Energy poverty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4.2960044571792422E-2"/>
                  <c:y val="5.4852371297284978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Tematicos'!$D$55</c:f>
              <c:numCache>
                <c:formatCode>General</c:formatCode>
                <c:ptCount val="1"/>
                <c:pt idx="0">
                  <c:v>7.5</c:v>
                </c:pt>
              </c:numCache>
            </c:numRef>
          </c:xVal>
          <c:yVal>
            <c:numRef>
              <c:f>'Grafica de Mapas Tematicos'!$E$55</c:f>
              <c:numCache>
                <c:formatCode>General</c:formatCode>
                <c:ptCount val="1"/>
                <c:pt idx="0">
                  <c:v>2.7</c:v>
                </c:pt>
              </c:numCache>
            </c:numRef>
          </c:yVal>
          <c:smooth val="0"/>
        </c:ser>
        <c:ser>
          <c:idx val="22"/>
          <c:order val="22"/>
          <c:tx>
            <c:strRef>
              <c:f>'Grafica de Mapas Tematicos'!$C$56</c:f>
              <c:strCache>
                <c:ptCount val="1"/>
                <c:pt idx="0">
                  <c:v>Energy affordability 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1.1371776504297994E-2"/>
                  <c:y val="3.6568247531523317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Tematicos'!$D$56</c:f>
              <c:numCache>
                <c:formatCode>General</c:formatCode>
                <c:ptCount val="1"/>
                <c:pt idx="0">
                  <c:v>9.8000000000000007</c:v>
                </c:pt>
              </c:numCache>
            </c:numRef>
          </c:xVal>
          <c:yVal>
            <c:numRef>
              <c:f>'Grafica de Mapas Tematicos'!$E$56</c:f>
              <c:numCache>
                <c:formatCode>General</c:formatCode>
                <c:ptCount val="1"/>
                <c:pt idx="0">
                  <c:v>6.8</c:v>
                </c:pt>
              </c:numCache>
            </c:numRef>
          </c:yVal>
          <c:smooth val="0"/>
        </c:ser>
        <c:ser>
          <c:idx val="23"/>
          <c:order val="23"/>
          <c:tx>
            <c:strRef>
              <c:f>'Grafica de Mapas Tematicos'!$C$57</c:f>
              <c:strCache>
                <c:ptCount val="1"/>
                <c:pt idx="0">
                  <c:v>Corruption</c:v>
                </c:pt>
              </c:strCache>
            </c:strRef>
          </c:tx>
          <c:spPr>
            <a:ln w="28575">
              <a:solidFill>
                <a:schemeClr val="bg1"/>
              </a:solidFill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1.2496020375676537E-3"/>
                  <c:y val="-4.2120670417871413E-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Tematicos'!$D$57</c:f>
              <c:numCache>
                <c:formatCode>General</c:formatCode>
                <c:ptCount val="1"/>
                <c:pt idx="0">
                  <c:v>8.1</c:v>
                </c:pt>
              </c:numCache>
            </c:numRef>
          </c:xVal>
          <c:yVal>
            <c:numRef>
              <c:f>'Grafica de Mapas Tematicos'!$E$57</c:f>
              <c:numCache>
                <c:formatCode>General</c:formatCode>
                <c:ptCount val="1"/>
                <c:pt idx="0">
                  <c:v>4.7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10401024"/>
        <c:axId val="110402944"/>
      </c:scatterChart>
      <c:valAx>
        <c:axId val="110401024"/>
        <c:scaling>
          <c:orientation val="minMax"/>
          <c:max val="18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s-CO" sz="1100"/>
                  <a:t>Impacto</a:t>
                </a:r>
              </a:p>
            </c:rich>
          </c:tx>
          <c:layout>
            <c:manualLayout>
              <c:xMode val="edge"/>
              <c:yMode val="edge"/>
              <c:x val="0.91557850937654361"/>
              <c:y val="0.96728110346168528"/>
            </c:manualLayout>
          </c:layout>
          <c:overlay val="0"/>
        </c:title>
        <c:numFmt formatCode="0.00" sourceLinked="1"/>
        <c:majorTickMark val="none"/>
        <c:minorTickMark val="none"/>
        <c:tickLblPos val="none"/>
        <c:spPr>
          <a:ln w="31750">
            <a:solidFill>
              <a:schemeClr val="tx1"/>
            </a:solidFill>
            <a:tailEnd type="arrow"/>
          </a:ln>
        </c:spPr>
        <c:crossAx val="110402944"/>
        <c:crosses val="autoZero"/>
        <c:crossBetween val="midCat"/>
        <c:majorUnit val="2"/>
        <c:minorUnit val="0.4"/>
      </c:valAx>
      <c:valAx>
        <c:axId val="110402944"/>
        <c:scaling>
          <c:orientation val="minMax"/>
          <c:max val="13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100"/>
                </a:pPr>
                <a:r>
                  <a:rPr lang="es-CO" sz="1100"/>
                  <a:t>Incertidumbre</a:t>
                </a:r>
              </a:p>
            </c:rich>
          </c:tx>
          <c:layout>
            <c:manualLayout>
              <c:xMode val="edge"/>
              <c:yMode val="edge"/>
              <c:x val="0"/>
              <c:y val="3.1962316843032072E-2"/>
            </c:manualLayout>
          </c:layout>
          <c:overlay val="0"/>
        </c:title>
        <c:numFmt formatCode="0.00" sourceLinked="1"/>
        <c:majorTickMark val="none"/>
        <c:minorTickMark val="none"/>
        <c:tickLblPos val="none"/>
        <c:spPr>
          <a:ln w="31750">
            <a:solidFill>
              <a:schemeClr val="tx1"/>
            </a:solidFill>
            <a:tailEnd type="arrow"/>
          </a:ln>
        </c:spPr>
        <c:crossAx val="110401024"/>
        <c:crosses val="autoZero"/>
        <c:crossBetween val="midCat"/>
        <c:majorUnit val="2"/>
        <c:minorUnit val="0.4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6363993845678665E-2"/>
          <c:y val="1.2212561153806699E-2"/>
          <c:w val="0.97779093814662132"/>
          <c:h val="0.95918629147525725"/>
        </c:manualLayout>
      </c:layout>
      <c:scatterChart>
        <c:scatterStyle val="lineMarker"/>
        <c:varyColors val="0"/>
        <c:ser>
          <c:idx val="25"/>
          <c:order val="0"/>
          <c:tx>
            <c:strRef>
              <c:f>'Grafica de Mapas Tematicos'!$C$71</c:f>
              <c:strCache>
                <c:ptCount val="1"/>
                <c:pt idx="0">
                  <c:v>Sustainable cities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8.1777200732250879E-2"/>
                  <c:y val="5.6926491583784315E-2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006600"/>
                      </a:solidFill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Tematicos'!$D$71</c:f>
              <c:numCache>
                <c:formatCode>General</c:formatCode>
                <c:ptCount val="1"/>
                <c:pt idx="0">
                  <c:v>7.8</c:v>
                </c:pt>
              </c:numCache>
            </c:numRef>
          </c:xVal>
          <c:yVal>
            <c:numRef>
              <c:f>'Grafica de Mapas Tematicos'!$E$71</c:f>
              <c:numCache>
                <c:formatCode>General</c:formatCode>
                <c:ptCount val="1"/>
                <c:pt idx="0">
                  <c:v>5.4</c:v>
                </c:pt>
              </c:numCache>
            </c:numRef>
          </c:yVal>
          <c:smooth val="0"/>
        </c:ser>
        <c:ser>
          <c:idx val="26"/>
          <c:order val="1"/>
          <c:tx>
            <c:strRef>
              <c:f>'Grafica de Mapas Tematicos'!$C$72</c:f>
              <c:strCache>
                <c:ptCount val="1"/>
                <c:pt idx="0">
                  <c:v>Carbon capture, utilisation &amp; storage (CCUS)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Tematicos'!$D$72</c:f>
              <c:numCache>
                <c:formatCode>General</c:formatCode>
                <c:ptCount val="1"/>
                <c:pt idx="0">
                  <c:v>4.9000000000000004</c:v>
                </c:pt>
              </c:numCache>
            </c:numRef>
          </c:xVal>
          <c:yVal>
            <c:numRef>
              <c:f>'Grafica de Mapas Tematicos'!$E$72</c:f>
              <c:numCache>
                <c:formatCode>General</c:formatCode>
                <c:ptCount val="1"/>
                <c:pt idx="0">
                  <c:v>8.6999999999999993</c:v>
                </c:pt>
              </c:numCache>
            </c:numRef>
          </c:yVal>
          <c:smooth val="0"/>
        </c:ser>
        <c:ser>
          <c:idx val="27"/>
          <c:order val="2"/>
          <c:tx>
            <c:strRef>
              <c:f>'Grafica de Mapas Tematicos'!$C$73</c:f>
              <c:strCache>
                <c:ptCount val="1"/>
                <c:pt idx="0">
                  <c:v>Renewable energy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3.5792278525177755E-3"/>
                  <c:y val="-4.020568850342081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Tematicos'!$D$73</c:f>
              <c:numCache>
                <c:formatCode>General</c:formatCode>
                <c:ptCount val="1"/>
                <c:pt idx="0">
                  <c:v>13.6</c:v>
                </c:pt>
              </c:numCache>
            </c:numRef>
          </c:xVal>
          <c:yVal>
            <c:numRef>
              <c:f>'Grafica de Mapas Tematicos'!$E$73</c:f>
              <c:numCache>
                <c:formatCode>General</c:formatCode>
                <c:ptCount val="1"/>
                <c:pt idx="0">
                  <c:v>8.3000000000000007</c:v>
                </c:pt>
              </c:numCache>
            </c:numRef>
          </c:yVal>
          <c:smooth val="0"/>
        </c:ser>
        <c:ser>
          <c:idx val="28"/>
          <c:order val="3"/>
          <c:tx>
            <c:strRef>
              <c:f>'Grafica de Mapas Tematicos'!$C$74</c:f>
              <c:strCache>
                <c:ptCount val="1"/>
                <c:pt idx="0">
                  <c:v>Biofuels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8.8818586131722721E-2"/>
                  <c:y val="3.819540407824983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Tematicos'!$D$74</c:f>
              <c:numCache>
                <c:formatCode>General</c:formatCode>
                <c:ptCount val="1"/>
                <c:pt idx="0">
                  <c:v>4.5</c:v>
                </c:pt>
              </c:numCache>
            </c:numRef>
          </c:xVal>
          <c:yVal>
            <c:numRef>
              <c:f>'Grafica de Mapas Tematicos'!$E$74</c:f>
              <c:numCache>
                <c:formatCode>General</c:formatCode>
                <c:ptCount val="1"/>
                <c:pt idx="0">
                  <c:v>6</c:v>
                </c:pt>
              </c:numCache>
            </c:numRef>
          </c:yVal>
          <c:smooth val="0"/>
        </c:ser>
        <c:ser>
          <c:idx val="29"/>
          <c:order val="4"/>
          <c:tx>
            <c:strRef>
              <c:f>'Grafica de Mapas Tematicos'!$C$75</c:f>
              <c:strCache>
                <c:ptCount val="1"/>
                <c:pt idx="0">
                  <c:v>Smart grids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2.9806689748487741E-2"/>
                  <c:y val="5.2820801989978128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Tematicos'!$D$75</c:f>
              <c:numCache>
                <c:formatCode>General</c:formatCode>
                <c:ptCount val="1"/>
                <c:pt idx="0">
                  <c:v>10.6</c:v>
                </c:pt>
              </c:numCache>
            </c:numRef>
          </c:xVal>
          <c:yVal>
            <c:numRef>
              <c:f>'Grafica de Mapas Tematicos'!$E$75</c:f>
              <c:numCache>
                <c:formatCode>General</c:formatCode>
                <c:ptCount val="1"/>
                <c:pt idx="0">
                  <c:v>6.4</c:v>
                </c:pt>
              </c:numCache>
            </c:numRef>
          </c:yVal>
          <c:smooth val="0"/>
        </c:ser>
        <c:ser>
          <c:idx val="30"/>
          <c:order val="5"/>
          <c:tx>
            <c:strRef>
              <c:f>'Grafica de Mapas Tematicos'!$C$76</c:f>
              <c:strCache>
                <c:ptCount val="1"/>
                <c:pt idx="0">
                  <c:v>Future mobility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4029926774912443"/>
                  <c:y val="-1.2189415843841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Tematicos'!$D$76</c:f>
              <c:numCache>
                <c:formatCode>General</c:formatCode>
                <c:ptCount val="1"/>
                <c:pt idx="0">
                  <c:v>8.4</c:v>
                </c:pt>
              </c:numCache>
            </c:numRef>
          </c:xVal>
          <c:yVal>
            <c:numRef>
              <c:f>'Grafica de Mapas Tematicos'!$E$76</c:f>
              <c:numCache>
                <c:formatCode>General</c:formatCode>
                <c:ptCount val="1"/>
                <c:pt idx="0">
                  <c:v>7.2</c:v>
                </c:pt>
              </c:numCache>
            </c:numRef>
          </c:yVal>
          <c:smooth val="0"/>
        </c:ser>
        <c:ser>
          <c:idx val="31"/>
          <c:order val="6"/>
          <c:tx>
            <c:strRef>
              <c:f>'Grafica de Mapas Tematicos'!$C$77</c:f>
              <c:strCache>
                <c:ptCount val="1"/>
                <c:pt idx="0">
                  <c:v>Electricity storage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7.9744607609041701E-2"/>
                  <c:y val="-5.688394060459182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Tematicos'!$D$77</c:f>
              <c:numCache>
                <c:formatCode>General</c:formatCode>
                <c:ptCount val="1"/>
                <c:pt idx="0">
                  <c:v>11.1</c:v>
                </c:pt>
              </c:numCache>
            </c:numRef>
          </c:xVal>
          <c:yVal>
            <c:numRef>
              <c:f>'Grafica de Mapas Tematicos'!$E$77</c:f>
              <c:numCache>
                <c:formatCode>General</c:formatCode>
                <c:ptCount val="1"/>
                <c:pt idx="0">
                  <c:v>9.4</c:v>
                </c:pt>
              </c:numCache>
            </c:numRef>
          </c:yVal>
          <c:smooth val="0"/>
        </c:ser>
        <c:ser>
          <c:idx val="32"/>
          <c:order val="7"/>
          <c:tx>
            <c:strRef>
              <c:f>'Grafica de Mapas Tematicos'!$C$78</c:f>
              <c:strCache>
                <c:ptCount val="1"/>
                <c:pt idx="0">
                  <c:v>Hydro power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6.9001014804202482E-2"/>
                  <c:y val="-5.0959436599440917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Tematicos'!$D$78</c:f>
              <c:numCache>
                <c:formatCode>General</c:formatCode>
                <c:ptCount val="1"/>
                <c:pt idx="0">
                  <c:v>8.3000000000000007</c:v>
                </c:pt>
              </c:numCache>
            </c:numRef>
          </c:xVal>
          <c:yVal>
            <c:numRef>
              <c:f>'Grafica de Mapas Tematicos'!$E$78</c:f>
              <c:numCache>
                <c:formatCode>General</c:formatCode>
                <c:ptCount val="1"/>
                <c:pt idx="0">
                  <c:v>3.3</c:v>
                </c:pt>
              </c:numCache>
            </c:numRef>
          </c:yVal>
          <c:smooth val="0"/>
        </c:ser>
        <c:ser>
          <c:idx val="33"/>
          <c:order val="8"/>
          <c:tx>
            <c:strRef>
              <c:f>'Grafica de Mapas Tematicos'!$C$79</c:f>
              <c:strCache>
                <c:ptCount val="1"/>
                <c:pt idx="0">
                  <c:v>Unconventional fossil fuels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7.4548312639286851E-2"/>
                  <c:y val="5.07892326826712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Unconventional 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Tematicos'!$D$79</c:f>
              <c:numCache>
                <c:formatCode>General</c:formatCode>
                <c:ptCount val="1"/>
                <c:pt idx="0">
                  <c:v>10.9</c:v>
                </c:pt>
              </c:numCache>
            </c:numRef>
          </c:xVal>
          <c:yVal>
            <c:numRef>
              <c:f>'Grafica de Mapas Tematicos'!$E$79</c:f>
              <c:numCache>
                <c:formatCode>General</c:formatCode>
                <c:ptCount val="1"/>
                <c:pt idx="0">
                  <c:v>8.5</c:v>
                </c:pt>
              </c:numCache>
            </c:numRef>
          </c:yVal>
          <c:smooth val="0"/>
        </c:ser>
        <c:ser>
          <c:idx val="34"/>
          <c:order val="9"/>
          <c:tx>
            <c:strRef>
              <c:f>'Grafica de Mapas Tematicos'!$C$80</c:f>
              <c:strCache>
                <c:ptCount val="1"/>
                <c:pt idx="0">
                  <c:v>Hydrogen economy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6689917621776504"/>
                  <c:y val="-5.5412252602448277E-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Tematicos'!$D$80</c:f>
              <c:numCache>
                <c:formatCode>General</c:formatCode>
                <c:ptCount val="1"/>
                <c:pt idx="0">
                  <c:v>3</c:v>
                </c:pt>
              </c:numCache>
            </c:numRef>
          </c:xVal>
          <c:yVal>
            <c:numRef>
              <c:f>'Grafica de Mapas Tematicos'!$E$80</c:f>
              <c:numCache>
                <c:formatCode>General</c:formatCode>
                <c:ptCount val="1"/>
                <c:pt idx="0">
                  <c:v>6.4</c:v>
                </c:pt>
              </c:numCache>
            </c:numRef>
          </c:yVal>
          <c:smooth val="0"/>
        </c:ser>
        <c:ser>
          <c:idx val="35"/>
          <c:order val="10"/>
          <c:tx>
            <c:strRef>
              <c:f>'Grafica de Mapas Tematicos'!$C$81</c:f>
              <c:strCache>
                <c:ptCount val="1"/>
                <c:pt idx="0">
                  <c:v>Energy Efficiency</c:v>
                </c:pt>
              </c:strCache>
            </c:strRef>
          </c:tx>
          <c:spPr>
            <a:ln w="28575">
              <a:noFill/>
            </a:ln>
          </c:spPr>
          <c:marker>
            <c:spPr>
              <a:ln>
                <a:solidFill>
                  <a:schemeClr val="bg1"/>
                </a:solidFill>
              </a:ln>
            </c:spPr>
          </c:marker>
          <c:dPt>
            <c:idx val="0"/>
            <c:marker>
              <c:symbol val="circle"/>
              <c:size val="40"/>
              <c:spPr>
                <a:solidFill>
                  <a:srgbClr val="006600"/>
                </a:solidFill>
                <a:ln>
                  <a:solidFill>
                    <a:schemeClr val="bg1"/>
                  </a:solidFill>
                </a:ln>
              </c:spPr>
            </c:marker>
            <c:bubble3D val="0"/>
          </c:dPt>
          <c:dLbls>
            <c:dLbl>
              <c:idx val="0"/>
              <c:layout>
                <c:manualLayout>
                  <c:x val="-3.397445081184336E-2"/>
                  <c:y val="5.4341599580888848E-2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006600"/>
                      </a:solidFill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006600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Tematicos'!$D$81</c:f>
              <c:numCache>
                <c:formatCode>General</c:formatCode>
                <c:ptCount val="1"/>
                <c:pt idx="0">
                  <c:v>16.3</c:v>
                </c:pt>
              </c:numCache>
            </c:numRef>
          </c:xVal>
          <c:yVal>
            <c:numRef>
              <c:f>'Grafica de Mapas Tematicos'!$E$81</c:f>
              <c:numCache>
                <c:formatCode>General</c:formatCode>
                <c:ptCount val="1"/>
                <c:pt idx="0">
                  <c:v>7</c:v>
                </c:pt>
              </c:numCache>
            </c:numRef>
          </c:yVal>
          <c:smooth val="0"/>
        </c:ser>
        <c:ser>
          <c:idx val="36"/>
          <c:order val="11"/>
          <c:tx>
            <c:strRef>
              <c:f>'Grafica de Mapas Tematicos'!$C$82</c:f>
              <c:strCache>
                <c:ptCount val="1"/>
                <c:pt idx="0">
                  <c:v>Nuclear energy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2056610156001274"/>
                  <c:y val="-5.07892326826712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Tematicos'!$D$82</c:f>
              <c:numCache>
                <c:formatCode>General</c:formatCode>
                <c:ptCount val="1"/>
                <c:pt idx="0">
                  <c:v>10.5</c:v>
                </c:pt>
              </c:numCache>
            </c:numRef>
          </c:xVal>
          <c:yVal>
            <c:numRef>
              <c:f>'Grafica de Mapas Tematicos'!$E$82</c:f>
              <c:numCache>
                <c:formatCode>General</c:formatCode>
                <c:ptCount val="1"/>
                <c:pt idx="0">
                  <c:v>8.9</c:v>
                </c:pt>
              </c:numCache>
            </c:numRef>
          </c:yVal>
          <c:smooth val="0"/>
        </c:ser>
        <c:ser>
          <c:idx val="0"/>
          <c:order val="12"/>
          <c:tx>
            <c:strRef>
              <c:f>'Grafica de Mapas Tematicos'!$AT$71</c:f>
              <c:strCache>
                <c:ptCount val="1"/>
                <c:pt idx="0">
                  <c:v>Sustainable cities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Tematicos'!$AU$71</c:f>
              <c:numCache>
                <c:formatCode>0.00</c:formatCode>
                <c:ptCount val="1"/>
                <c:pt idx="0">
                  <c:v>8.0768728646399452</c:v>
                </c:pt>
              </c:numCache>
            </c:numRef>
          </c:xVal>
          <c:yVal>
            <c:numRef>
              <c:f>'Grafica de Mapas Tematicos'!$AV$71</c:f>
              <c:numCache>
                <c:formatCode>0.00</c:formatCode>
                <c:ptCount val="1"/>
                <c:pt idx="0">
                  <c:v>5.6968500762328445</c:v>
                </c:pt>
              </c:numCache>
            </c:numRef>
          </c:yVal>
          <c:smooth val="0"/>
        </c:ser>
        <c:ser>
          <c:idx val="1"/>
          <c:order val="13"/>
          <c:tx>
            <c:strRef>
              <c:f>'Grafica de Mapas Tematicos'!$AT$72</c:f>
              <c:strCache>
                <c:ptCount val="1"/>
                <c:pt idx="0">
                  <c:v>Carbon capture, utilisation &amp; storage (CCUS)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0.13267072588347659"/>
                  <c:y val="6.09470792192055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Tematicos'!$AU$72</c:f>
              <c:numCache>
                <c:formatCode>0.00</c:formatCode>
                <c:ptCount val="1"/>
                <c:pt idx="0">
                  <c:v>6.7125343871425418</c:v>
                </c:pt>
              </c:numCache>
            </c:numRef>
          </c:xVal>
          <c:yVal>
            <c:numRef>
              <c:f>'Grafica de Mapas Tematicos'!$AV$72</c:f>
              <c:numCache>
                <c:formatCode>0.00</c:formatCode>
                <c:ptCount val="1"/>
                <c:pt idx="0">
                  <c:v>2.6766226306720275</c:v>
                </c:pt>
              </c:numCache>
            </c:numRef>
          </c:yVal>
          <c:smooth val="0"/>
        </c:ser>
        <c:ser>
          <c:idx val="2"/>
          <c:order val="14"/>
          <c:tx>
            <c:strRef>
              <c:f>'Grafica de Mapas Tematicos'!$AT$73</c:f>
              <c:strCache>
                <c:ptCount val="1"/>
                <c:pt idx="0">
                  <c:v>Renewable energy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3.7905921680992387E-3"/>
                  <c:y val="4.0631386146137019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Tematicos'!$AU$73</c:f>
              <c:numCache>
                <c:formatCode>0.00</c:formatCode>
                <c:ptCount val="1"/>
                <c:pt idx="0">
                  <c:v>11.745240475952404</c:v>
                </c:pt>
              </c:numCache>
            </c:numRef>
          </c:xVal>
          <c:yVal>
            <c:numRef>
              <c:f>'Grafica de Mapas Tematicos'!$AV$73</c:f>
              <c:numCache>
                <c:formatCode>0.00</c:formatCode>
                <c:ptCount val="1"/>
                <c:pt idx="0">
                  <c:v>6.7284606547960939</c:v>
                </c:pt>
              </c:numCache>
            </c:numRef>
          </c:yVal>
          <c:smooth val="0"/>
        </c:ser>
        <c:ser>
          <c:idx val="3"/>
          <c:order val="15"/>
          <c:tx>
            <c:strRef>
              <c:f>'Grafica de Mapas Tematicos'!$AT$74</c:f>
              <c:strCache>
                <c:ptCount val="1"/>
                <c:pt idx="0">
                  <c:v>Biofuels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9.5077503183699452E-2"/>
                  <c:y val="-2.844197030229587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Tematicos'!$AU$74</c:f>
              <c:numCache>
                <c:formatCode>0.00</c:formatCode>
                <c:ptCount val="1"/>
                <c:pt idx="0">
                  <c:v>6.6727507378578235</c:v>
                </c:pt>
              </c:numCache>
            </c:numRef>
          </c:xVal>
          <c:yVal>
            <c:numRef>
              <c:f>'Grafica de Mapas Tematicos'!$AV$74</c:f>
              <c:numCache>
                <c:formatCode>0.00</c:formatCode>
                <c:ptCount val="1"/>
                <c:pt idx="0">
                  <c:v>8.4155576712814035</c:v>
                </c:pt>
              </c:numCache>
            </c:numRef>
          </c:yVal>
          <c:smooth val="0"/>
        </c:ser>
        <c:ser>
          <c:idx val="4"/>
          <c:order val="16"/>
          <c:tx>
            <c:strRef>
              <c:f>'Grafica de Mapas Tematicos'!$AT$75</c:f>
              <c:strCache>
                <c:ptCount val="1"/>
                <c:pt idx="0">
                  <c:v>Smart grids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9.7367677491244822E-2"/>
                  <c:y val="-4.439863692097007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Tematicos'!$AU$75</c:f>
              <c:numCache>
                <c:formatCode>0.00</c:formatCode>
                <c:ptCount val="1"/>
                <c:pt idx="0">
                  <c:v>8.2603771565251147</c:v>
                </c:pt>
              </c:numCache>
            </c:numRef>
          </c:xVal>
          <c:yVal>
            <c:numRef>
              <c:f>'Grafica de Mapas Tematicos'!$AV$75</c:f>
              <c:numCache>
                <c:formatCode>0.00</c:formatCode>
                <c:ptCount val="1"/>
                <c:pt idx="0">
                  <c:v>7.9248446477109535</c:v>
                </c:pt>
              </c:numCache>
            </c:numRef>
          </c:yVal>
          <c:smooth val="0"/>
        </c:ser>
        <c:ser>
          <c:idx val="5"/>
          <c:order val="17"/>
          <c:tx>
            <c:strRef>
              <c:f>'Grafica de Mapas Tematicos'!$AT$76</c:f>
              <c:strCache>
                <c:ptCount val="1"/>
                <c:pt idx="0">
                  <c:v>Future mobility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3.1875696434256605E-2"/>
                  <c:y val="-4.672609406805756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Tematicos'!$AU$76</c:f>
              <c:numCache>
                <c:formatCode>0.00</c:formatCode>
                <c:ptCount val="1"/>
                <c:pt idx="0">
                  <c:v>8.9829165357027829</c:v>
                </c:pt>
              </c:numCache>
            </c:numRef>
          </c:xVal>
          <c:yVal>
            <c:numRef>
              <c:f>'Grafica de Mapas Tematicos'!$AV$76</c:f>
              <c:numCache>
                <c:formatCode>0.00</c:formatCode>
                <c:ptCount val="1"/>
                <c:pt idx="0">
                  <c:v>8.1650493961181478</c:v>
                </c:pt>
              </c:numCache>
            </c:numRef>
          </c:yVal>
          <c:smooth val="0"/>
        </c:ser>
        <c:ser>
          <c:idx val="6"/>
          <c:order val="18"/>
          <c:tx>
            <c:strRef>
              <c:f>'Grafica de Mapas Tematicos'!$AT$77</c:f>
              <c:strCache>
                <c:ptCount val="1"/>
                <c:pt idx="0">
                  <c:v>Electricity storage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3">
                  <a:lumMod val="60000"/>
                  <a:lumOff val="40000"/>
                  <a:alpha val="9000"/>
                </a:schemeClr>
              </a:solidFill>
              <a:ln>
                <a:solidFill>
                  <a:schemeClr val="tx1"/>
                </a:solidFill>
              </a:ln>
            </c:spPr>
          </c:marker>
          <c:dPt>
            <c:idx val="0"/>
            <c:marker>
              <c:spPr>
                <a:solidFill>
                  <a:schemeClr val="accent3">
                    <a:lumMod val="60000"/>
                    <a:lumOff val="40000"/>
                  </a:schemeClr>
                </a:solidFill>
                <a:ln>
                  <a:solidFill>
                    <a:schemeClr val="tx1"/>
                  </a:solidFill>
                </a:ln>
              </c:spPr>
            </c:marker>
            <c:bubble3D val="0"/>
          </c:dPt>
          <c:dLbls>
            <c:dLbl>
              <c:idx val="0"/>
              <c:layout>
                <c:manualLayout>
                  <c:x val="-1.3055456064947469E-2"/>
                  <c:y val="1.188442491122470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Tematicos'!$AU$77</c:f>
              <c:numCache>
                <c:formatCode>0.00</c:formatCode>
                <c:ptCount val="1"/>
                <c:pt idx="0">
                  <c:v>8.1547362054889039</c:v>
                </c:pt>
              </c:numCache>
            </c:numRef>
          </c:xVal>
          <c:yVal>
            <c:numRef>
              <c:f>'Grafica de Mapas Tematicos'!$AV$77</c:f>
              <c:numCache>
                <c:formatCode>0.00</c:formatCode>
                <c:ptCount val="1"/>
                <c:pt idx="0">
                  <c:v>6.8974082073434122</c:v>
                </c:pt>
              </c:numCache>
            </c:numRef>
          </c:yVal>
          <c:smooth val="0"/>
        </c:ser>
        <c:ser>
          <c:idx val="7"/>
          <c:order val="19"/>
          <c:tx>
            <c:strRef>
              <c:f>'Grafica de Mapas Tematicos'!$AT$78</c:f>
              <c:strCache>
                <c:ptCount val="1"/>
                <c:pt idx="0">
                  <c:v>Hydro power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0.11951110315186246"/>
                  <c:y val="-3.250510891690961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Tematicos'!$AU$78</c:f>
              <c:numCache>
                <c:formatCode>0.00</c:formatCode>
                <c:ptCount val="1"/>
                <c:pt idx="0">
                  <c:v>6.2127891658241179</c:v>
                </c:pt>
              </c:numCache>
            </c:numRef>
          </c:xVal>
          <c:yVal>
            <c:numRef>
              <c:f>'Grafica de Mapas Tematicos'!$AV$78</c:f>
              <c:numCache>
                <c:formatCode>0.00</c:formatCode>
                <c:ptCount val="1"/>
                <c:pt idx="0">
                  <c:v>6.7381442109559435</c:v>
                </c:pt>
              </c:numCache>
            </c:numRef>
          </c:yVal>
          <c:smooth val="0"/>
        </c:ser>
        <c:ser>
          <c:idx val="8"/>
          <c:order val="20"/>
          <c:tx>
            <c:strRef>
              <c:f>'Grafica de Mapas Tematicos'!$AT$79</c:f>
              <c:strCache>
                <c:ptCount val="1"/>
                <c:pt idx="0">
                  <c:v>Unconventional fossil fuels</c:v>
                </c:pt>
              </c:strCache>
            </c:strRef>
          </c:tx>
          <c:spPr>
            <a:ln w="28575">
              <a:noFill/>
            </a:ln>
          </c:spPr>
          <c:dPt>
            <c:idx val="0"/>
            <c:marker>
              <c:symbol val="circle"/>
              <c:size val="40"/>
              <c:spPr>
                <a:solidFill>
                  <a:schemeClr val="accent3">
                    <a:lumMod val="60000"/>
                    <a:lumOff val="40000"/>
                  </a:schemeClr>
                </a:solidFill>
                <a:ln>
                  <a:solidFill>
                    <a:schemeClr val="tx1"/>
                  </a:solidFill>
                </a:ln>
              </c:spPr>
            </c:marker>
            <c:bubble3D val="0"/>
          </c:dPt>
          <c:dLbls>
            <c:dLbl>
              <c:idx val="0"/>
              <c:layout>
                <c:manualLayout>
                  <c:x val="-1.2114075931232092E-2"/>
                  <c:y val="3.250510891690961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Unconventional 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Tematicos'!$AU$79</c:f>
              <c:numCache>
                <c:formatCode>0.00</c:formatCode>
                <c:ptCount val="1"/>
                <c:pt idx="0">
                  <c:v>9.0548105987523311</c:v>
                </c:pt>
              </c:numCache>
            </c:numRef>
          </c:xVal>
          <c:yVal>
            <c:numRef>
              <c:f>'Grafica de Mapas Tematicos'!$AV$79</c:f>
              <c:numCache>
                <c:formatCode>0.00</c:formatCode>
                <c:ptCount val="1"/>
                <c:pt idx="0">
                  <c:v>7.9633300789124695</c:v>
                </c:pt>
              </c:numCache>
            </c:numRef>
          </c:yVal>
          <c:smooth val="0"/>
        </c:ser>
        <c:ser>
          <c:idx val="9"/>
          <c:order val="21"/>
          <c:tx>
            <c:strRef>
              <c:f>'Grafica de Mapas Tematicos'!$AT$80</c:f>
              <c:strCache>
                <c:ptCount val="1"/>
                <c:pt idx="0">
                  <c:v>Hydrogen economy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0.16425899395097102"/>
                  <c:y val="-2.437883168768221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Tematicos'!$AU$80</c:f>
              <c:numCache>
                <c:formatCode>0.00</c:formatCode>
                <c:ptCount val="1"/>
                <c:pt idx="0">
                  <c:v>3.5981780804549817</c:v>
                </c:pt>
              </c:numCache>
            </c:numRef>
          </c:xVal>
          <c:yVal>
            <c:numRef>
              <c:f>'Grafica de Mapas Tematicos'!$AV$80</c:f>
              <c:numCache>
                <c:formatCode>0.00</c:formatCode>
                <c:ptCount val="1"/>
                <c:pt idx="0">
                  <c:v>7.4879348652682172</c:v>
                </c:pt>
              </c:numCache>
            </c:numRef>
          </c:yVal>
          <c:smooth val="0"/>
        </c:ser>
        <c:ser>
          <c:idx val="10"/>
          <c:order val="22"/>
          <c:tx>
            <c:strRef>
              <c:f>'Grafica de Mapas Tematicos'!$AT$81</c:f>
              <c:strCache>
                <c:ptCount val="1"/>
                <c:pt idx="0">
                  <c:v>Energy Efficiency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5.812241324418975E-2"/>
                  <c:y val="5.078923268267127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Tematicos'!$AU$81</c:f>
              <c:numCache>
                <c:formatCode>0.00</c:formatCode>
                <c:ptCount val="1"/>
                <c:pt idx="0">
                  <c:v>12.279719143470267</c:v>
                </c:pt>
              </c:numCache>
            </c:numRef>
          </c:xVal>
          <c:yVal>
            <c:numRef>
              <c:f>'Grafica de Mapas Tematicos'!$AV$81</c:f>
              <c:numCache>
                <c:formatCode>0.00</c:formatCode>
                <c:ptCount val="1"/>
                <c:pt idx="0">
                  <c:v>8.2868514409901675</c:v>
                </c:pt>
              </c:numCache>
            </c:numRef>
          </c:yVal>
          <c:smooth val="0"/>
        </c:ser>
        <c:ser>
          <c:idx val="11"/>
          <c:order val="23"/>
          <c:tx>
            <c:strRef>
              <c:f>'Grafica de Mapas Tematicos'!$AT$82</c:f>
              <c:strCache>
                <c:ptCount val="1"/>
                <c:pt idx="0">
                  <c:v>Nuclear energy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0.13498617080547595"/>
                  <c:y val="1.2189415843841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Tematicos'!$AU$82</c:f>
              <c:numCache>
                <c:formatCode>0.00</c:formatCode>
                <c:ptCount val="1"/>
                <c:pt idx="0">
                  <c:v>8.0250181241041325</c:v>
                </c:pt>
              </c:numCache>
            </c:numRef>
          </c:xVal>
          <c:yVal>
            <c:numRef>
              <c:f>'Grafica de Mapas Tematicos'!$AV$82</c:f>
              <c:numCache>
                <c:formatCode>0.00</c:formatCode>
                <c:ptCount val="1"/>
                <c:pt idx="0">
                  <c:v>6.301352547086335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10897024"/>
        <c:axId val="110911488"/>
      </c:scatterChart>
      <c:valAx>
        <c:axId val="110897024"/>
        <c:scaling>
          <c:orientation val="minMax"/>
          <c:max val="18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s-CO" sz="1100"/>
                  <a:t>Impacto</a:t>
                </a:r>
              </a:p>
            </c:rich>
          </c:tx>
          <c:layout>
            <c:manualLayout>
              <c:xMode val="edge"/>
              <c:yMode val="edge"/>
              <c:x val="0.92230169315297017"/>
              <c:y val="0.96723682935802169"/>
            </c:manualLayout>
          </c:layout>
          <c:overlay val="0"/>
        </c:title>
        <c:numFmt formatCode="General" sourceLinked="1"/>
        <c:majorTickMark val="none"/>
        <c:minorTickMark val="none"/>
        <c:tickLblPos val="none"/>
        <c:spPr>
          <a:ln w="31750">
            <a:solidFill>
              <a:schemeClr val="tx1"/>
            </a:solidFill>
            <a:tailEnd type="arrow"/>
          </a:ln>
        </c:spPr>
        <c:crossAx val="110911488"/>
        <c:crosses val="autoZero"/>
        <c:crossBetween val="midCat"/>
        <c:majorUnit val="2"/>
        <c:minorUnit val="0.4"/>
      </c:valAx>
      <c:valAx>
        <c:axId val="110911488"/>
        <c:scaling>
          <c:orientation val="minMax"/>
          <c:max val="13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100"/>
                </a:pPr>
                <a:r>
                  <a:rPr lang="es-CO" sz="1100"/>
                  <a:t>Incertidumbre</a:t>
                </a:r>
              </a:p>
            </c:rich>
          </c:tx>
          <c:layout>
            <c:manualLayout>
              <c:xMode val="edge"/>
              <c:yMode val="edge"/>
              <c:x val="5.2245432048086461E-4"/>
              <c:y val="3.5803319543641625E-2"/>
            </c:manualLayout>
          </c:layout>
          <c:overlay val="0"/>
        </c:title>
        <c:numFmt formatCode="General" sourceLinked="1"/>
        <c:majorTickMark val="none"/>
        <c:minorTickMark val="none"/>
        <c:tickLblPos val="none"/>
        <c:spPr>
          <a:ln w="31750">
            <a:solidFill>
              <a:schemeClr val="tx1"/>
            </a:solidFill>
            <a:tailEnd type="arrow"/>
          </a:ln>
        </c:spPr>
        <c:crossAx val="110897024"/>
        <c:crosses val="autoZero"/>
        <c:crossBetween val="midCat"/>
        <c:majorUnit val="2"/>
        <c:minorUnit val="0.4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8328380405501572E-2"/>
          <c:y val="1.2683190695217674E-2"/>
          <c:w val="0.96770708257100724"/>
          <c:h val="0.95919980672114658"/>
        </c:manualLayout>
      </c:layout>
      <c:scatterChart>
        <c:scatterStyle val="lineMarker"/>
        <c:varyColors val="0"/>
        <c:ser>
          <c:idx val="12"/>
          <c:order val="0"/>
          <c:tx>
            <c:strRef>
              <c:f>'Grafica de Mapas Tematicos'!$C$58</c:f>
              <c:strCache>
                <c:ptCount val="1"/>
                <c:pt idx="0">
                  <c:v>Terrorism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1427690226042661"/>
                  <c:y val="-5.806692816415081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Tematicos'!$D$58</c:f>
              <c:numCache>
                <c:formatCode>General</c:formatCode>
                <c:ptCount val="1"/>
                <c:pt idx="0">
                  <c:v>6</c:v>
                </c:pt>
              </c:numCache>
            </c:numRef>
          </c:xVal>
          <c:yVal>
            <c:numRef>
              <c:f>'Grafica de Mapas Tematicos'!$E$58</c:f>
              <c:numCache>
                <c:formatCode>General</c:formatCode>
                <c:ptCount val="1"/>
                <c:pt idx="0">
                  <c:v>7.1</c:v>
                </c:pt>
              </c:numCache>
            </c:numRef>
          </c:yVal>
          <c:smooth val="0"/>
        </c:ser>
        <c:ser>
          <c:idx val="13"/>
          <c:order val="1"/>
          <c:tx>
            <c:strRef>
              <c:f>'Grafica de Mapas Tematicos'!$C$59</c:f>
              <c:strCache>
                <c:ptCount val="1"/>
                <c:pt idx="0">
                  <c:v>India growth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Tematicos'!$D$59</c:f>
              <c:numCache>
                <c:formatCode>General</c:formatCode>
                <c:ptCount val="1"/>
                <c:pt idx="0">
                  <c:v>13.4</c:v>
                </c:pt>
              </c:numCache>
            </c:numRef>
          </c:xVal>
          <c:yVal>
            <c:numRef>
              <c:f>'Grafica de Mapas Tematicos'!$E$59</c:f>
              <c:numCache>
                <c:formatCode>General</c:formatCode>
                <c:ptCount val="1"/>
                <c:pt idx="0">
                  <c:v>5.4</c:v>
                </c:pt>
              </c:numCache>
            </c:numRef>
          </c:yVal>
          <c:smooth val="0"/>
        </c:ser>
        <c:ser>
          <c:idx val="14"/>
          <c:order val="2"/>
          <c:tx>
            <c:strRef>
              <c:f>'Grafica de Mapas Tematicos'!$C$60</c:f>
              <c:strCache>
                <c:ptCount val="1"/>
                <c:pt idx="0">
                  <c:v>Brazil growth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Tematicos'!$D$60</c:f>
              <c:numCache>
                <c:formatCode>General</c:formatCode>
                <c:ptCount val="1"/>
                <c:pt idx="0">
                  <c:v>3.6</c:v>
                </c:pt>
              </c:numCache>
            </c:numRef>
          </c:xVal>
          <c:yVal>
            <c:numRef>
              <c:f>'Grafica de Mapas Tematicos'!$E$60</c:f>
              <c:numCache>
                <c:formatCode>General</c:formatCode>
                <c:ptCount val="1"/>
                <c:pt idx="0">
                  <c:v>1.7</c:v>
                </c:pt>
              </c:numCache>
            </c:numRef>
          </c:yVal>
          <c:smooth val="0"/>
        </c:ser>
        <c:ser>
          <c:idx val="15"/>
          <c:order val="3"/>
          <c:tx>
            <c:strRef>
              <c:f>'Grafica de Mapas Tematicos'!$C$61</c:f>
              <c:strCache>
                <c:ptCount val="1"/>
                <c:pt idx="0">
                  <c:v>Russia energy diplomacy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Tematicos'!$D$61</c:f>
              <c:numCache>
                <c:formatCode>General</c:formatCode>
                <c:ptCount val="1"/>
                <c:pt idx="0">
                  <c:v>7.8</c:v>
                </c:pt>
              </c:numCache>
            </c:numRef>
          </c:xVal>
          <c:yVal>
            <c:numRef>
              <c:f>'Grafica de Mapas Tematicos'!$E$61</c:f>
              <c:numCache>
                <c:formatCode>General</c:formatCode>
                <c:ptCount val="1"/>
                <c:pt idx="0">
                  <c:v>6.1</c:v>
                </c:pt>
              </c:numCache>
            </c:numRef>
          </c:yVal>
          <c:smooth val="0"/>
        </c:ser>
        <c:ser>
          <c:idx val="16"/>
          <c:order val="4"/>
          <c:tx>
            <c:strRef>
              <c:f>'Grafica de Mapas Tematicos'!$C$62</c:f>
              <c:strCache>
                <c:ptCount val="1"/>
                <c:pt idx="0">
                  <c:v>EU cohesion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6.3587631327602673E-2"/>
                  <c:y val="-5.1592790182001802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Tematicos'!$D$62</c:f>
              <c:numCache>
                <c:formatCode>General</c:formatCode>
                <c:ptCount val="1"/>
                <c:pt idx="0">
                  <c:v>9</c:v>
                </c:pt>
              </c:numCache>
            </c:numRef>
          </c:xVal>
          <c:yVal>
            <c:numRef>
              <c:f>'Grafica de Mapas Tematicos'!$E$62</c:f>
              <c:numCache>
                <c:formatCode>General</c:formatCode>
                <c:ptCount val="1"/>
                <c:pt idx="0">
                  <c:v>7</c:v>
                </c:pt>
              </c:numCache>
            </c:numRef>
          </c:yVal>
          <c:smooth val="0"/>
        </c:ser>
        <c:ser>
          <c:idx val="17"/>
          <c:order val="5"/>
          <c:tx>
            <c:strRef>
              <c:f>'Grafica de Mapas Tematicos'!$C$63</c:f>
              <c:strCache>
                <c:ptCount val="1"/>
                <c:pt idx="0">
                  <c:v>Middle East / North Africa fragility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Tematicos'!$D$63</c:f>
              <c:numCache>
                <c:formatCode>General</c:formatCode>
                <c:ptCount val="1"/>
                <c:pt idx="0">
                  <c:v>11.3</c:v>
                </c:pt>
              </c:numCache>
            </c:numRef>
          </c:xVal>
          <c:yVal>
            <c:numRef>
              <c:f>'Grafica de Mapas Tematicos'!$E$63</c:f>
              <c:numCache>
                <c:formatCode>General</c:formatCode>
                <c:ptCount val="1"/>
                <c:pt idx="0">
                  <c:v>10.5</c:v>
                </c:pt>
              </c:numCache>
            </c:numRef>
          </c:yVal>
          <c:smooth val="0"/>
        </c:ser>
        <c:ser>
          <c:idx val="18"/>
          <c:order val="6"/>
          <c:tx>
            <c:strRef>
              <c:f>'Grafica de Mapas Tematicos'!$C$64</c:f>
              <c:strCache>
                <c:ptCount val="1"/>
                <c:pt idx="0">
                  <c:v>US trade and policy influencing global energy markets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5.5061584686405603E-2"/>
                  <c:y val="5.3585190120914145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US trade 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Tematicos'!$D$64</c:f>
              <c:numCache>
                <c:formatCode>General</c:formatCode>
                <c:ptCount val="1"/>
                <c:pt idx="0">
                  <c:v>10.9</c:v>
                </c:pt>
              </c:numCache>
            </c:numRef>
          </c:xVal>
          <c:yVal>
            <c:numRef>
              <c:f>'Grafica de Mapas Tematicos'!$E$64</c:f>
              <c:numCache>
                <c:formatCode>General</c:formatCode>
                <c:ptCount val="1"/>
                <c:pt idx="0">
                  <c:v>5.4</c:v>
                </c:pt>
              </c:numCache>
            </c:numRef>
          </c:yVal>
          <c:smooth val="0"/>
        </c:ser>
        <c:ser>
          <c:idx val="0"/>
          <c:order val="7"/>
          <c:tx>
            <c:strRef>
              <c:f>'Grafica de Mapas Tematicos'!$AT$59</c:f>
              <c:strCache>
                <c:ptCount val="1"/>
                <c:pt idx="0">
                  <c:v>India growth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4440066857688633E-2"/>
                  <c:y val="-5.087967349832449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Tematicos'!$AU$59</c:f>
              <c:numCache>
                <c:formatCode>0.00</c:formatCode>
                <c:ptCount val="1"/>
                <c:pt idx="0">
                  <c:v>11.765764564724703</c:v>
                </c:pt>
              </c:numCache>
            </c:numRef>
          </c:xVal>
          <c:yVal>
            <c:numRef>
              <c:f>'Grafica de Mapas Tematicos'!$AV$59</c:f>
              <c:numCache>
                <c:formatCode>0.00</c:formatCode>
                <c:ptCount val="1"/>
                <c:pt idx="0">
                  <c:v>5.656734635267088</c:v>
                </c:pt>
              </c:numCache>
            </c:numRef>
          </c:yVal>
          <c:smooth val="0"/>
        </c:ser>
        <c:ser>
          <c:idx val="1"/>
          <c:order val="8"/>
          <c:tx>
            <c:strRef>
              <c:f>'Grafica de Mapas Tematicos'!$AT$60</c:f>
              <c:strCache>
                <c:ptCount val="1"/>
                <c:pt idx="0">
                  <c:v>Brazil growth</c:v>
                </c:pt>
              </c:strCache>
            </c:strRef>
          </c:tx>
          <c:spPr>
            <a:ln w="28575">
              <a:noFill/>
            </a:ln>
          </c:spPr>
          <c:dPt>
            <c:idx val="0"/>
            <c:marker>
              <c:symbol val="circle"/>
              <c:size val="40"/>
              <c:spPr>
                <a:solidFill>
                  <a:schemeClr val="accent4">
                    <a:lumMod val="20000"/>
                    <a:lumOff val="80000"/>
                  </a:schemeClr>
                </a:solidFill>
                <a:ln>
                  <a:solidFill>
                    <a:schemeClr val="tx1"/>
                  </a:solidFill>
                </a:ln>
              </c:spPr>
            </c:marker>
            <c:bubble3D val="0"/>
          </c:dPt>
          <c:dLbls>
            <c:dLbl>
              <c:idx val="0"/>
              <c:layout>
                <c:manualLayout>
                  <c:x val="-3.7905921680993315E-3"/>
                  <c:y val="-1.2211121639597878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Tematicos'!$AU$60</c:f>
              <c:numCache>
                <c:formatCode>0.00</c:formatCode>
                <c:ptCount val="1"/>
                <c:pt idx="0">
                  <c:v>9.8934147466469184</c:v>
                </c:pt>
              </c:numCache>
            </c:numRef>
          </c:xVal>
          <c:yVal>
            <c:numRef>
              <c:f>'Grafica de Mapas Tematicos'!$AV$60</c:f>
              <c:numCache>
                <c:formatCode>0.00</c:formatCode>
                <c:ptCount val="1"/>
                <c:pt idx="0">
                  <c:v>6.7871444379797126</c:v>
                </c:pt>
              </c:numCache>
            </c:numRef>
          </c:yVal>
          <c:smooth val="0"/>
        </c:ser>
        <c:ser>
          <c:idx val="2"/>
          <c:order val="9"/>
          <c:tx>
            <c:strRef>
              <c:f>'Grafica de Mapas Tematicos'!$AT$61</c:f>
              <c:strCache>
                <c:ptCount val="1"/>
                <c:pt idx="0">
                  <c:v>Russia energy diplomacy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Tematicos'!$AU$61</c:f>
              <c:numCache>
                <c:formatCode>0.00</c:formatCode>
                <c:ptCount val="1"/>
                <c:pt idx="0">
                  <c:v>9.5014736255717285</c:v>
                </c:pt>
              </c:numCache>
            </c:numRef>
          </c:xVal>
          <c:yVal>
            <c:numRef>
              <c:f>'Grafica de Mapas Tematicos'!$AV$61</c:f>
              <c:numCache>
                <c:formatCode>0.00</c:formatCode>
                <c:ptCount val="1"/>
                <c:pt idx="0">
                  <c:v>3.9534883720930232</c:v>
                </c:pt>
              </c:numCache>
            </c:numRef>
          </c:yVal>
          <c:smooth val="0"/>
        </c:ser>
        <c:ser>
          <c:idx val="3"/>
          <c:order val="10"/>
          <c:tx>
            <c:strRef>
              <c:f>'Grafica de Mapas Tematicos'!$AT$62</c:f>
              <c:strCache>
                <c:ptCount val="1"/>
                <c:pt idx="0">
                  <c:v>EU cohesion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3.7905921680993315E-3"/>
                  <c:y val="-1.01759346996649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Tematicos'!$AU$62</c:f>
              <c:numCache>
                <c:formatCode>0.00</c:formatCode>
                <c:ptCount val="1"/>
                <c:pt idx="0">
                  <c:v>6.1039861351819757</c:v>
                </c:pt>
              </c:numCache>
            </c:numRef>
          </c:xVal>
          <c:yVal>
            <c:numRef>
              <c:f>'Grafica de Mapas Tematicos'!$AV$62</c:f>
              <c:numCache>
                <c:formatCode>0.00</c:formatCode>
                <c:ptCount val="1"/>
                <c:pt idx="0">
                  <c:v>7.8977661109339863</c:v>
                </c:pt>
              </c:numCache>
            </c:numRef>
          </c:yVal>
          <c:smooth val="0"/>
        </c:ser>
        <c:ser>
          <c:idx val="4"/>
          <c:order val="11"/>
          <c:tx>
            <c:strRef>
              <c:f>'Grafica de Mapas Tematicos'!$AT$63</c:f>
              <c:strCache>
                <c:ptCount val="1"/>
                <c:pt idx="0">
                  <c:v>Middle East / North Africa fragility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chemeClr val="accent4">
                  <a:lumMod val="20000"/>
                  <a:lumOff val="80000"/>
                </a:schemeClr>
              </a:solidFill>
              <a:ln>
                <a:solidFill>
                  <a:schemeClr val="tx1"/>
                </a:solidFill>
              </a:ln>
            </c:spPr>
          </c:marker>
          <c:dPt>
            <c:idx val="0"/>
            <c:marker>
              <c:symbol val="circle"/>
              <c:size val="40"/>
            </c:marker>
            <c:bubble3D val="0"/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Tematicos'!$AU$63</c:f>
              <c:numCache>
                <c:formatCode>0.00</c:formatCode>
                <c:ptCount val="1"/>
                <c:pt idx="0">
                  <c:v>5.1170072992700728</c:v>
                </c:pt>
              </c:numCache>
            </c:numRef>
          </c:xVal>
          <c:yVal>
            <c:numRef>
              <c:f>'Grafica de Mapas Tematicos'!$AV$63</c:f>
              <c:numCache>
                <c:formatCode>0.00</c:formatCode>
                <c:ptCount val="1"/>
                <c:pt idx="0">
                  <c:v>3.4740608228980321</c:v>
                </c:pt>
              </c:numCache>
            </c:numRef>
          </c:yVal>
          <c:smooth val="0"/>
        </c:ser>
        <c:ser>
          <c:idx val="5"/>
          <c:order val="12"/>
          <c:tx>
            <c:strRef>
              <c:f>'Grafica de Mapas Tematicos'!$AT$64</c:f>
              <c:strCache>
                <c:ptCount val="1"/>
                <c:pt idx="0">
                  <c:v>US trade and policy influencing global energy markets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5.0541228907991037E-2"/>
                  <c:y val="5.9020421258056413E-2"/>
                </c:manualLayout>
              </c:layout>
              <c:tx>
                <c:rich>
                  <a:bodyPr/>
                  <a:lstStyle/>
                  <a:p>
                    <a:r>
                      <a:rPr lang="es-CO"/>
                      <a:t>US trade 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Tematicos'!$AU$64</c:f>
              <c:numCache>
                <c:formatCode>0.00</c:formatCode>
                <c:ptCount val="1"/>
                <c:pt idx="0">
                  <c:v>7.7696476868777591</c:v>
                </c:pt>
              </c:numCache>
            </c:numRef>
          </c:xVal>
          <c:yVal>
            <c:numRef>
              <c:f>'Grafica de Mapas Tematicos'!$AV$64</c:f>
              <c:numCache>
                <c:formatCode>0.00</c:formatCode>
                <c:ptCount val="1"/>
                <c:pt idx="0">
                  <c:v>5.9669730040206783</c:v>
                </c:pt>
              </c:numCache>
            </c:numRef>
          </c:yVal>
          <c:smooth val="0"/>
        </c:ser>
        <c:ser>
          <c:idx val="6"/>
          <c:order val="13"/>
          <c:tx>
            <c:strRef>
              <c:f>'Grafica de Mapas Tematicos'!$AT$58</c:f>
              <c:strCache>
                <c:ptCount val="1"/>
                <c:pt idx="0">
                  <c:v>Terrorism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Tematicos'!$AU$58</c:f>
              <c:numCache>
                <c:formatCode>0.00</c:formatCode>
                <c:ptCount val="1"/>
                <c:pt idx="0">
                  <c:v>9.5726357851534587</c:v>
                </c:pt>
              </c:numCache>
            </c:numRef>
          </c:xVal>
          <c:yVal>
            <c:numRef>
              <c:f>'Grafica de Mapas Tematicos'!$AV$58</c:f>
              <c:numCache>
                <c:formatCode>0.00</c:formatCode>
                <c:ptCount val="1"/>
                <c:pt idx="0">
                  <c:v>7.4905319923630689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10985216"/>
        <c:axId val="110987136"/>
      </c:scatterChart>
      <c:valAx>
        <c:axId val="110985216"/>
        <c:scaling>
          <c:orientation val="minMax"/>
          <c:max val="18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s-CO" sz="1100"/>
                  <a:t>Impacto</a:t>
                </a:r>
              </a:p>
            </c:rich>
          </c:tx>
          <c:layout>
            <c:manualLayout>
              <c:xMode val="edge"/>
              <c:yMode val="edge"/>
              <c:x val="0.91428027252583044"/>
              <c:y val="0.96970542231900114"/>
            </c:manualLayout>
          </c:layout>
          <c:overlay val="0"/>
        </c:title>
        <c:numFmt formatCode="General" sourceLinked="1"/>
        <c:majorTickMark val="none"/>
        <c:minorTickMark val="none"/>
        <c:tickLblPos val="none"/>
        <c:spPr>
          <a:ln w="31750">
            <a:solidFill>
              <a:schemeClr val="tx1"/>
            </a:solidFill>
            <a:tailEnd type="arrow"/>
          </a:ln>
        </c:spPr>
        <c:crossAx val="110987136"/>
        <c:crosses val="autoZero"/>
        <c:crossBetween val="midCat"/>
        <c:majorUnit val="2"/>
        <c:minorUnit val="0.4"/>
      </c:valAx>
      <c:valAx>
        <c:axId val="110987136"/>
        <c:scaling>
          <c:orientation val="minMax"/>
          <c:max val="13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100"/>
                </a:pPr>
                <a:r>
                  <a:rPr lang="es-CO" sz="1100"/>
                  <a:t>Incertidumbre</a:t>
                </a:r>
              </a:p>
            </c:rich>
          </c:tx>
          <c:layout>
            <c:manualLayout>
              <c:xMode val="edge"/>
              <c:yMode val="edge"/>
              <c:x val="0"/>
              <c:y val="5.2609342961716023E-2"/>
            </c:manualLayout>
          </c:layout>
          <c:overlay val="0"/>
        </c:title>
        <c:numFmt formatCode="General" sourceLinked="1"/>
        <c:majorTickMark val="none"/>
        <c:minorTickMark val="none"/>
        <c:tickLblPos val="none"/>
        <c:spPr>
          <a:ln w="31750">
            <a:solidFill>
              <a:schemeClr val="tx1"/>
            </a:solidFill>
            <a:tailEnd type="arrow"/>
          </a:ln>
        </c:spPr>
        <c:crossAx val="110985216"/>
        <c:crosses val="autoZero"/>
        <c:crossBetween val="midCat"/>
        <c:majorUnit val="2"/>
        <c:minorUnit val="0.4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0849341602350725E-2"/>
          <c:y val="1.2683190695217674E-2"/>
          <c:w val="0.96518612137415805"/>
          <c:h val="0.95919422995375669"/>
        </c:manualLayout>
      </c:layout>
      <c:scatterChart>
        <c:scatterStyle val="lineMarker"/>
        <c:varyColors val="0"/>
        <c:ser>
          <c:idx val="19"/>
          <c:order val="0"/>
          <c:tx>
            <c:strRef>
              <c:f>'Grafica de Mapas Tematicos'!$C$65</c:f>
              <c:strCache>
                <c:ptCount val="1"/>
                <c:pt idx="0">
                  <c:v>Trade barriers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8.4578955746577519E-2"/>
                  <c:y val="5.47010174171939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Tematicos'!$D$65</c:f>
              <c:numCache>
                <c:formatCode>General</c:formatCode>
                <c:ptCount val="1"/>
                <c:pt idx="0">
                  <c:v>9.1</c:v>
                </c:pt>
              </c:numCache>
            </c:numRef>
          </c:xVal>
          <c:yVal>
            <c:numRef>
              <c:f>'Grafica de Mapas Tematicos'!$E$65</c:f>
              <c:numCache>
                <c:formatCode>General</c:formatCode>
                <c:ptCount val="1"/>
                <c:pt idx="0">
                  <c:v>6.8</c:v>
                </c:pt>
              </c:numCache>
            </c:numRef>
          </c:yVal>
          <c:smooth val="0"/>
        </c:ser>
        <c:ser>
          <c:idx val="20"/>
          <c:order val="1"/>
          <c:tx>
            <c:strRef>
              <c:f>'Grafica de Mapas Tematicos'!$C$66</c:f>
              <c:strCache>
                <c:ptCount val="1"/>
                <c:pt idx="0">
                  <c:v>Regional interconnection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1.2635307226997771E-3"/>
                  <c:y val="-2.03518693993298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Tematicos'!$D$66</c:f>
              <c:numCache>
                <c:formatCode>General</c:formatCode>
                <c:ptCount val="1"/>
                <c:pt idx="0">
                  <c:v>12.6</c:v>
                </c:pt>
              </c:numCache>
            </c:numRef>
          </c:xVal>
          <c:yVal>
            <c:numRef>
              <c:f>'Grafica de Mapas Tematicos'!$E$66</c:f>
              <c:numCache>
                <c:formatCode>General</c:formatCode>
                <c:ptCount val="1"/>
                <c:pt idx="0">
                  <c:v>6.3</c:v>
                </c:pt>
              </c:numCache>
            </c:numRef>
          </c:yVal>
          <c:smooth val="0"/>
        </c:ser>
        <c:ser>
          <c:idx val="21"/>
          <c:order val="2"/>
          <c:tx>
            <c:strRef>
              <c:f>'Grafica de Mapas Tematicos'!$C$67</c:f>
              <c:strCache>
                <c:ptCount val="1"/>
                <c:pt idx="0">
                  <c:v>Business cycle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7.5497851002865324E-2"/>
                  <c:y val="-5.8746712652276455E-2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003399"/>
                      </a:solidFill>
                    </a:defRPr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Tematicos'!$D$67</c:f>
              <c:numCache>
                <c:formatCode>General</c:formatCode>
                <c:ptCount val="1"/>
                <c:pt idx="0">
                  <c:v>9.9</c:v>
                </c:pt>
              </c:numCache>
            </c:numRef>
          </c:xVal>
          <c:yVal>
            <c:numRef>
              <c:f>'Grafica de Mapas Tematicos'!$E$67</c:f>
              <c:numCache>
                <c:formatCode>General</c:formatCode>
                <c:ptCount val="1"/>
                <c:pt idx="0">
                  <c:v>8.4</c:v>
                </c:pt>
              </c:numCache>
            </c:numRef>
          </c:yVal>
          <c:smooth val="0"/>
        </c:ser>
        <c:ser>
          <c:idx val="22"/>
          <c:order val="3"/>
          <c:tx>
            <c:strRef>
              <c:f>'Grafica de Mapas Tematicos'!$C$68</c:f>
              <c:strCache>
                <c:ptCount val="1"/>
                <c:pt idx="0">
                  <c:v>Innovative market design &amp; policies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9.4342068608723337E-2"/>
                  <c:y val="4.862029549311858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Innovative market 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Tematicos'!$D$68</c:f>
              <c:numCache>
                <c:formatCode>General</c:formatCode>
                <c:ptCount val="1"/>
                <c:pt idx="0">
                  <c:v>10.8</c:v>
                </c:pt>
              </c:numCache>
            </c:numRef>
          </c:xVal>
          <c:yVal>
            <c:numRef>
              <c:f>'Grafica de Mapas Tematicos'!$E$68</c:f>
              <c:numCache>
                <c:formatCode>General</c:formatCode>
                <c:ptCount val="1"/>
                <c:pt idx="0">
                  <c:v>7.7</c:v>
                </c:pt>
              </c:numCache>
            </c:numRef>
          </c:yVal>
          <c:smooth val="0"/>
        </c:ser>
        <c:ser>
          <c:idx val="23"/>
          <c:order val="4"/>
          <c:tx>
            <c:strRef>
              <c:f>'Grafica de Mapas Tematicos'!$C$69</c:f>
              <c:strCache>
                <c:ptCount val="1"/>
                <c:pt idx="0">
                  <c:v>Energy subsidies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2.1127726042661572E-2"/>
                  <c:y val="-4.502330289046223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Tematicos'!$D$69</c:f>
              <c:numCache>
                <c:formatCode>General</c:formatCode>
                <c:ptCount val="1"/>
                <c:pt idx="0">
                  <c:v>11.6</c:v>
                </c:pt>
              </c:numCache>
            </c:numRef>
          </c:xVal>
          <c:yVal>
            <c:numRef>
              <c:f>'Grafica de Mapas Tematicos'!$E$69</c:f>
              <c:numCache>
                <c:formatCode>General</c:formatCode>
                <c:ptCount val="1"/>
                <c:pt idx="0">
                  <c:v>8</c:v>
                </c:pt>
              </c:numCache>
            </c:numRef>
          </c:yVal>
          <c:smooth val="0"/>
        </c:ser>
        <c:ser>
          <c:idx val="24"/>
          <c:order val="5"/>
          <c:tx>
            <c:strRef>
              <c:f>'Grafica de Mapas Tematicos'!$C$70</c:f>
              <c:strCache>
                <c:ptCount val="1"/>
                <c:pt idx="0">
                  <c:v>New market players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Tematicos'!$D$70</c:f>
              <c:numCache>
                <c:formatCode>General</c:formatCode>
                <c:ptCount val="1"/>
                <c:pt idx="0">
                  <c:v>5.7</c:v>
                </c:pt>
              </c:numCache>
            </c:numRef>
          </c:xVal>
          <c:yVal>
            <c:numRef>
              <c:f>'Grafica de Mapas Tematicos'!$E$70</c:f>
              <c:numCache>
                <c:formatCode>General</c:formatCode>
                <c:ptCount val="1"/>
                <c:pt idx="0">
                  <c:v>4.4000000000000004</c:v>
                </c:pt>
              </c:numCache>
            </c:numRef>
          </c:yVal>
          <c:smooth val="0"/>
        </c:ser>
        <c:ser>
          <c:idx val="0"/>
          <c:order val="6"/>
          <c:tx>
            <c:strRef>
              <c:f>'Grafica de Mapas Tematicos'!$AT$65</c:f>
              <c:strCache>
                <c:ptCount val="1"/>
                <c:pt idx="0">
                  <c:v>Trade barriers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0.13393425660617639"/>
                  <c:y val="0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Tematicos'!$AU$65</c:f>
              <c:numCache>
                <c:formatCode>0.00</c:formatCode>
                <c:ptCount val="1"/>
                <c:pt idx="0">
                  <c:v>6.9366206646899631</c:v>
                </c:pt>
              </c:numCache>
            </c:numRef>
          </c:xVal>
          <c:yVal>
            <c:numRef>
              <c:f>'Grafica de Mapas Tematicos'!$AV$65</c:f>
              <c:numCache>
                <c:formatCode>0.00</c:formatCode>
                <c:ptCount val="1"/>
                <c:pt idx="0">
                  <c:v>6.817642848193052</c:v>
                </c:pt>
              </c:numCache>
            </c:numRef>
          </c:yVal>
          <c:smooth val="0"/>
        </c:ser>
        <c:ser>
          <c:idx val="1"/>
          <c:order val="7"/>
          <c:tx>
            <c:strRef>
              <c:f>'Grafica de Mapas Tematicos'!$AT$66</c:f>
              <c:strCache>
                <c:ptCount val="1"/>
                <c:pt idx="0">
                  <c:v>Regional interconnection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9.602833492518302E-2"/>
                  <c:y val="-5.902042125805641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Tematicos'!$AU$66</c:f>
              <c:numCache>
                <c:formatCode>0.00</c:formatCode>
                <c:ptCount val="1"/>
                <c:pt idx="0">
                  <c:v>6.3765109615554909</c:v>
                </c:pt>
              </c:numCache>
            </c:numRef>
          </c:xVal>
          <c:yVal>
            <c:numRef>
              <c:f>'Grafica de Mapas Tematicos'!$AV$66</c:f>
              <c:numCache>
                <c:formatCode>0.00</c:formatCode>
                <c:ptCount val="1"/>
                <c:pt idx="0">
                  <c:v>9.2754548343508869</c:v>
                </c:pt>
              </c:numCache>
            </c:numRef>
          </c:yVal>
          <c:smooth val="0"/>
        </c:ser>
        <c:ser>
          <c:idx val="2"/>
          <c:order val="8"/>
          <c:tx>
            <c:strRef>
              <c:f>'Grafica de Mapas Tematicos'!$AT$67</c:f>
              <c:strCache>
                <c:ptCount val="1"/>
                <c:pt idx="0">
                  <c:v>Business cycle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9.2657849273268711E-17"/>
                  <c:y val="-2.03518693993298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Tematicos'!$AU$67</c:f>
              <c:numCache>
                <c:formatCode>0.00</c:formatCode>
                <c:ptCount val="1"/>
                <c:pt idx="0">
                  <c:v>11.601566282390419</c:v>
                </c:pt>
              </c:numCache>
            </c:numRef>
          </c:xVal>
          <c:yVal>
            <c:numRef>
              <c:f>'Grafica de Mapas Tematicos'!$AV$67</c:f>
              <c:numCache>
                <c:formatCode>0.00</c:formatCode>
                <c:ptCount val="1"/>
                <c:pt idx="0">
                  <c:v>10.81992148686764</c:v>
                </c:pt>
              </c:numCache>
            </c:numRef>
          </c:yVal>
          <c:smooth val="0"/>
        </c:ser>
        <c:ser>
          <c:idx val="3"/>
          <c:order val="9"/>
          <c:tx>
            <c:strRef>
              <c:f>'Grafica de Mapas Tematicos'!$AT$68</c:f>
              <c:strCache>
                <c:ptCount val="1"/>
                <c:pt idx="0">
                  <c:v>Innovative market design &amp; policies</c:v>
                </c:pt>
              </c:strCache>
            </c:strRef>
          </c:tx>
          <c:spPr>
            <a:ln w="28575">
              <a:noFill/>
            </a:ln>
          </c:spPr>
          <c:dPt>
            <c:idx val="0"/>
            <c:marker>
              <c:symbol val="circle"/>
              <c:size val="40"/>
              <c:spPr>
                <a:solidFill>
                  <a:schemeClr val="accent1">
                    <a:lumMod val="40000"/>
                    <a:lumOff val="60000"/>
                  </a:schemeClr>
                </a:solidFill>
                <a:ln>
                  <a:solidFill>
                    <a:schemeClr val="tx1"/>
                  </a:solidFill>
                </a:ln>
              </c:spPr>
            </c:marker>
            <c:bubble3D val="0"/>
          </c:dPt>
          <c:dLbls>
            <c:dLbl>
              <c:idx val="0"/>
              <c:layout>
                <c:manualLayout>
                  <c:x val="-5.0542223814071027E-3"/>
                  <c:y val="2.0351869399329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Innovative market 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Tematicos'!$AU$68</c:f>
              <c:numCache>
                <c:formatCode>0.00</c:formatCode>
                <c:ptCount val="1"/>
                <c:pt idx="0">
                  <c:v>11.49051094890511</c:v>
                </c:pt>
              </c:numCache>
            </c:numRef>
          </c:xVal>
          <c:yVal>
            <c:numRef>
              <c:f>'Grafica de Mapas Tematicos'!$AV$68</c:f>
              <c:numCache>
                <c:formatCode>0.00</c:formatCode>
                <c:ptCount val="1"/>
                <c:pt idx="0">
                  <c:v>7.9029904488743714</c:v>
                </c:pt>
              </c:numCache>
            </c:numRef>
          </c:yVal>
          <c:smooth val="0"/>
        </c:ser>
        <c:ser>
          <c:idx val="4"/>
          <c:order val="10"/>
          <c:tx>
            <c:strRef>
              <c:f>'Grafica de Mapas Tematicos'!$AT$69</c:f>
              <c:strCache>
                <c:ptCount val="1"/>
                <c:pt idx="0">
                  <c:v>Energy subsidies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0.14530603311047438"/>
                  <c:y val="-1.2211121639597878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Tematicos'!$AU$69</c:f>
              <c:numCache>
                <c:formatCode>0.00</c:formatCode>
                <c:ptCount val="1"/>
                <c:pt idx="0">
                  <c:v>7.7945816664833991</c:v>
                </c:pt>
              </c:numCache>
            </c:numRef>
          </c:xVal>
          <c:yVal>
            <c:numRef>
              <c:f>'Grafica de Mapas Tematicos'!$AV$69</c:f>
              <c:numCache>
                <c:formatCode>0.00</c:formatCode>
                <c:ptCount val="1"/>
                <c:pt idx="0">
                  <c:v>7.6187982503042484</c:v>
                </c:pt>
              </c:numCache>
            </c:numRef>
          </c:yVal>
          <c:smooth val="0"/>
        </c:ser>
        <c:ser>
          <c:idx val="5"/>
          <c:order val="11"/>
          <c:tx>
            <c:strRef>
              <c:f>'Grafica de Mapas Tematicos'!$AT$70</c:f>
              <c:strCache>
                <c:ptCount val="1"/>
                <c:pt idx="0">
                  <c:v>New market players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0.12508954154727794"/>
                  <c:y val="5.291486043825747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Tematicos'!$AU$70</c:f>
              <c:numCache>
                <c:formatCode>0.00</c:formatCode>
                <c:ptCount val="1"/>
                <c:pt idx="0">
                  <c:v>11.875868179982017</c:v>
                </c:pt>
              </c:numCache>
            </c:numRef>
          </c:xVal>
          <c:yVal>
            <c:numRef>
              <c:f>'Grafica de Mapas Tematicos'!$AV$70</c:f>
              <c:numCache>
                <c:formatCode>0.00</c:formatCode>
                <c:ptCount val="1"/>
                <c:pt idx="0">
                  <c:v>6.7178451226486597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11251456"/>
        <c:axId val="111253376"/>
      </c:scatterChart>
      <c:valAx>
        <c:axId val="111251456"/>
        <c:scaling>
          <c:orientation val="minMax"/>
          <c:max val="18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50"/>
                </a:pPr>
                <a:r>
                  <a:rPr lang="es-CO" sz="1050"/>
                  <a:t>Impacto</a:t>
                </a:r>
              </a:p>
            </c:rich>
          </c:tx>
          <c:layout>
            <c:manualLayout>
              <c:xMode val="edge"/>
              <c:yMode val="edge"/>
              <c:x val="0.9130197919274059"/>
              <c:y val="0.96969463940506673"/>
            </c:manualLayout>
          </c:layout>
          <c:overlay val="0"/>
        </c:title>
        <c:numFmt formatCode="General" sourceLinked="1"/>
        <c:majorTickMark val="none"/>
        <c:minorTickMark val="none"/>
        <c:tickLblPos val="none"/>
        <c:spPr>
          <a:ln w="31750">
            <a:solidFill>
              <a:schemeClr val="tx1"/>
            </a:solidFill>
            <a:tailEnd type="arrow"/>
          </a:ln>
        </c:spPr>
        <c:crossAx val="111253376"/>
        <c:crosses val="autoZero"/>
        <c:crossBetween val="midCat"/>
        <c:majorUnit val="2"/>
        <c:minorUnit val="0.4"/>
      </c:valAx>
      <c:valAx>
        <c:axId val="111253376"/>
        <c:scaling>
          <c:orientation val="minMax"/>
          <c:max val="13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100"/>
                </a:pPr>
                <a:r>
                  <a:rPr lang="es-CO" sz="1100"/>
                  <a:t>Incertidumbre</a:t>
                </a:r>
              </a:p>
            </c:rich>
          </c:tx>
          <c:layout>
            <c:manualLayout>
              <c:xMode val="edge"/>
              <c:yMode val="edge"/>
              <c:x val="4.2320387966003154E-4"/>
              <c:y val="4.5474205509089712E-2"/>
            </c:manualLayout>
          </c:layout>
          <c:overlay val="0"/>
        </c:title>
        <c:numFmt formatCode="General" sourceLinked="1"/>
        <c:majorTickMark val="none"/>
        <c:minorTickMark val="none"/>
        <c:tickLblPos val="none"/>
        <c:spPr>
          <a:ln w="31750">
            <a:solidFill>
              <a:schemeClr val="tx1"/>
            </a:solidFill>
            <a:tailEnd type="arrow"/>
          </a:ln>
        </c:spPr>
        <c:crossAx val="111251456"/>
        <c:crosses val="autoZero"/>
        <c:crossBetween val="midCat"/>
        <c:majorUnit val="2"/>
        <c:minorUnit val="0.4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0879795447309776E-2"/>
          <c:y val="1.2683190695217674E-2"/>
          <c:w val="0.96515560331104744"/>
          <c:h val="0.95725022408077587"/>
        </c:manualLayout>
      </c:layout>
      <c:scatterChart>
        <c:scatterStyle val="lineMarker"/>
        <c:varyColors val="0"/>
        <c:ser>
          <c:idx val="0"/>
          <c:order val="0"/>
          <c:tx>
            <c:strRef>
              <c:f>'Grafica de Mapas Tematicos'!$AT$46</c:f>
              <c:strCache>
                <c:ptCount val="1"/>
                <c:pt idx="0">
                  <c:v>Global Recesion</c:v>
                </c:pt>
              </c:strCache>
            </c:strRef>
          </c:tx>
          <c:spPr>
            <a:ln w="0">
              <a:solidFill>
                <a:schemeClr val="tx1">
                  <a:alpha val="0"/>
                </a:schemeClr>
              </a:solidFill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4265774848435567"/>
                  <c:y val="-2.5978542133308715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Tematicos'!$AU$46</c:f>
              <c:numCache>
                <c:formatCode>0.00</c:formatCode>
                <c:ptCount val="1"/>
                <c:pt idx="0">
                  <c:v>3.738258227527123</c:v>
                </c:pt>
              </c:numCache>
            </c:numRef>
          </c:xVal>
          <c:yVal>
            <c:numRef>
              <c:f>'Grafica de Mapas Tematicos'!$AV$46</c:f>
              <c:numCache>
                <c:formatCode>0.00</c:formatCode>
                <c:ptCount val="1"/>
                <c:pt idx="0">
                  <c:v>5.2454668742779651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'Grafica de Mapas Tematicos'!$AT$47</c:f>
              <c:strCache>
                <c:ptCount val="1"/>
                <c:pt idx="0">
                  <c:v>Global climate framework uncertainty</c:v>
                </c:pt>
              </c:strCache>
            </c:strRef>
          </c:tx>
          <c:spPr>
            <a:ln w="28575">
              <a:noFill/>
            </a:ln>
          </c:spPr>
          <c:marker>
            <c:spPr>
              <a:ln>
                <a:solidFill>
                  <a:schemeClr val="bg1"/>
                </a:solidFill>
              </a:ln>
            </c:spPr>
          </c:marker>
          <c:dPt>
            <c:idx val="0"/>
            <c:marker>
              <c:symbol val="circle"/>
              <c:size val="40"/>
              <c:spPr>
                <a:solidFill>
                  <a:schemeClr val="accent6">
                    <a:lumMod val="75000"/>
                  </a:schemeClr>
                </a:solidFill>
                <a:ln>
                  <a:solidFill>
                    <a:schemeClr val="bg1"/>
                  </a:solidFill>
                </a:ln>
              </c:spPr>
            </c:marker>
            <c:bubble3D val="0"/>
          </c:dPt>
          <c:dLbls>
            <c:dLbl>
              <c:idx val="0"/>
              <c:layout>
                <c:manualLayout>
                  <c:x val="-3.2849133000150701E-2"/>
                  <c:y val="-0.1798514455382916"/>
                </c:manualLayout>
              </c:layout>
              <c:tx>
                <c:rich>
                  <a:bodyPr/>
                  <a:lstStyle/>
                  <a:p>
                    <a:r>
                      <a:rPr lang="es-CO"/>
                      <a:t>Climate framework 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Tematicos'!$AU$47</c:f>
              <c:numCache>
                <c:formatCode>0.00</c:formatCode>
                <c:ptCount val="1"/>
                <c:pt idx="0">
                  <c:v>7.07981220657277</c:v>
                </c:pt>
              </c:numCache>
            </c:numRef>
          </c:xVal>
          <c:yVal>
            <c:numRef>
              <c:f>'Grafica de Mapas Tematicos'!$AV$47</c:f>
              <c:numCache>
                <c:formatCode>0.00</c:formatCode>
                <c:ptCount val="1"/>
                <c:pt idx="0">
                  <c:v>7.8972940751758811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'Grafica de Mapas Tematicos'!$AT$48</c:f>
              <c:strCache>
                <c:ptCount val="1"/>
                <c:pt idx="0">
                  <c:v>Large scale accidents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6239293469379154"/>
                  <c:y val="2.618136672937078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Tematicos'!$AU$48</c:f>
              <c:numCache>
                <c:formatCode>0.00</c:formatCode>
                <c:ptCount val="1"/>
                <c:pt idx="0">
                  <c:v>4.5829647171759245</c:v>
                </c:pt>
              </c:numCache>
            </c:numRef>
          </c:xVal>
          <c:yVal>
            <c:numRef>
              <c:f>'Grafica de Mapas Tematicos'!$AV$48</c:f>
              <c:numCache>
                <c:formatCode>0.00</c:formatCode>
                <c:ptCount val="1"/>
                <c:pt idx="0">
                  <c:v>7.1584743754675388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'Grafica de Mapas Tematicos'!$AT$49</c:f>
              <c:strCache>
                <c:ptCount val="1"/>
                <c:pt idx="0">
                  <c:v>Capital market constraints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1.2822661074840971E-2"/>
                  <c:y val="2.935520575956310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Capital market 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Tematicos'!$AU$49</c:f>
              <c:numCache>
                <c:formatCode>0.00</c:formatCode>
                <c:ptCount val="1"/>
                <c:pt idx="0">
                  <c:v>10.605863375200942</c:v>
                </c:pt>
              </c:numCache>
            </c:numRef>
          </c:xVal>
          <c:yVal>
            <c:numRef>
              <c:f>'Grafica de Mapas Tematicos'!$AV$49</c:f>
              <c:numCache>
                <c:formatCode>0.00</c:formatCode>
                <c:ptCount val="1"/>
                <c:pt idx="0">
                  <c:v>7.6826443430763334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'Grafica de Mapas Tematicos'!$AT$50</c:f>
              <c:strCache>
                <c:ptCount val="1"/>
                <c:pt idx="0">
                  <c:v>Commodity prices &amp; volatility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3.735610474536738E-2"/>
                  <c:y val="-0.1578696021947226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Commodity prices 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Tematicos'!$AU$50</c:f>
              <c:numCache>
                <c:formatCode>0.00</c:formatCode>
                <c:ptCount val="1"/>
                <c:pt idx="0">
                  <c:v>7.5365949746846415</c:v>
                </c:pt>
              </c:numCache>
            </c:numRef>
          </c:xVal>
          <c:yVal>
            <c:numRef>
              <c:f>'Grafica de Mapas Tematicos'!$AV$50</c:f>
              <c:numCache>
                <c:formatCode>0.00</c:formatCode>
                <c:ptCount val="1"/>
                <c:pt idx="0">
                  <c:v>7.7245603120274211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'Grafica de Mapas Tematicos'!$AT$51</c:f>
              <c:strCache>
                <c:ptCount val="1"/>
                <c:pt idx="0">
                  <c:v>Energy prices &amp; volatility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447948795536429"/>
                  <c:y val="2.046026549723889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Energy prices 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Tematicos'!$AU$51</c:f>
              <c:numCache>
                <c:formatCode>0.00</c:formatCode>
                <c:ptCount val="1"/>
                <c:pt idx="0">
                  <c:v>7.2294926126638099</c:v>
                </c:pt>
              </c:numCache>
            </c:numRef>
          </c:xVal>
          <c:yVal>
            <c:numRef>
              <c:f>'Grafica de Mapas Tematicos'!$AV$51</c:f>
              <c:numCache>
                <c:formatCode>0.00</c:formatCode>
                <c:ptCount val="1"/>
                <c:pt idx="0">
                  <c:v>7.4313479505212241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'Grafica de Mapas Tematicos'!$AT$52</c:f>
              <c:strCache>
                <c:ptCount val="1"/>
                <c:pt idx="0">
                  <c:v>Currency uncertainty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3608412457250421"/>
                  <c:y val="-5.550092876041757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Tematicos'!$AU$52</c:f>
              <c:numCache>
                <c:formatCode>0.00</c:formatCode>
                <c:ptCount val="1"/>
                <c:pt idx="0">
                  <c:v>4.3283250922219603</c:v>
                </c:pt>
              </c:numCache>
            </c:numRef>
          </c:xVal>
          <c:yVal>
            <c:numRef>
              <c:f>'Grafica de Mapas Tematicos'!$AV$52</c:f>
              <c:numCache>
                <c:formatCode>0.00</c:formatCode>
                <c:ptCount val="1"/>
                <c:pt idx="0">
                  <c:v>7.9126566370956839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'Grafica de Mapas Tematicos'!$AT$53</c:f>
              <c:strCache>
                <c:ptCount val="1"/>
                <c:pt idx="0">
                  <c:v>Energy water food nexus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</c:spPr>
          </c:marker>
          <c:dLbls>
            <c:dLbl>
              <c:idx val="0"/>
              <c:layout>
                <c:manualLayout>
                  <c:x val="-0.1354498144486323"/>
                  <c:y val="-5.148047006842379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Tematicos'!$AU$53</c:f>
              <c:numCache>
                <c:formatCode>0.00</c:formatCode>
                <c:ptCount val="1"/>
                <c:pt idx="0">
                  <c:v>6.8370761832694606</c:v>
                </c:pt>
              </c:numCache>
            </c:numRef>
          </c:xVal>
          <c:yVal>
            <c:numRef>
              <c:f>'Grafica de Mapas Tematicos'!$AV$53</c:f>
              <c:numCache>
                <c:formatCode>0.00</c:formatCode>
                <c:ptCount val="1"/>
                <c:pt idx="0">
                  <c:v>3.9848812095032398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'Grafica de Mapas Tematicos'!$AT$54</c:f>
              <c:strCache>
                <c:ptCount val="1"/>
                <c:pt idx="0">
                  <c:v>Talent scarcity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7.4376614603069583E-3"/>
                  <c:y val="2.2089313629923002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Tematicos'!$AU$54</c:f>
              <c:numCache>
                <c:formatCode>0.00</c:formatCode>
                <c:ptCount val="1"/>
                <c:pt idx="0">
                  <c:v>6.5594472380208462</c:v>
                </c:pt>
              </c:numCache>
            </c:numRef>
          </c:xVal>
          <c:yVal>
            <c:numRef>
              <c:f>'Grafica de Mapas Tematicos'!$AV$54</c:f>
              <c:numCache>
                <c:formatCode>0.00</c:formatCode>
                <c:ptCount val="1"/>
                <c:pt idx="0">
                  <c:v>3.5670840787119857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'Grafica de Mapas Tematicos'!$AT$55</c:f>
              <c:strCache>
                <c:ptCount val="1"/>
                <c:pt idx="0">
                  <c:v>Energy poverty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4.3476217205948145E-2"/>
                  <c:y val="4.744777771762753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Tematicos'!$AU$55</c:f>
              <c:numCache>
                <c:formatCode>0.00</c:formatCode>
                <c:ptCount val="1"/>
                <c:pt idx="0">
                  <c:v>8.7258542656599545</c:v>
                </c:pt>
              </c:numCache>
            </c:numRef>
          </c:xVal>
          <c:yVal>
            <c:numRef>
              <c:f>'Grafica de Mapas Tematicos'!$AV$55</c:f>
              <c:numCache>
                <c:formatCode>0.00</c:formatCode>
                <c:ptCount val="1"/>
                <c:pt idx="0">
                  <c:v>7.7456124245270033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'Grafica de Mapas Tematicos'!$AT$56</c:f>
              <c:strCache>
                <c:ptCount val="1"/>
                <c:pt idx="0">
                  <c:v>Energy affordability 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3090168859100645"/>
                  <c:y val="4.704759611942584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Tematicos'!$AU$56</c:f>
              <c:numCache>
                <c:formatCode>0.00</c:formatCode>
                <c:ptCount val="1"/>
                <c:pt idx="0">
                  <c:v>7.0287155435236368</c:v>
                </c:pt>
              </c:numCache>
            </c:numRef>
          </c:xVal>
          <c:yVal>
            <c:numRef>
              <c:f>'Grafica de Mapas Tematicos'!$AV$56</c:f>
              <c:numCache>
                <c:formatCode>0.00</c:formatCode>
                <c:ptCount val="1"/>
                <c:pt idx="0">
                  <c:v>6.3564930658505396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'Grafica de Mapas Tematicos'!$AT$57</c:f>
              <c:strCache>
                <c:ptCount val="1"/>
                <c:pt idx="0">
                  <c:v>Corruption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5.8547092829760748E-2"/>
                  <c:y val="4.8142597177606841E-2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chemeClr val="accent6">
                          <a:lumMod val="75000"/>
                        </a:schemeClr>
                      </a:solidFill>
                    </a:defRPr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Tematicos'!$AU$57</c:f>
              <c:numCache>
                <c:formatCode>0.00</c:formatCode>
                <c:ptCount val="1"/>
                <c:pt idx="0">
                  <c:v>13.707239034795361</c:v>
                </c:pt>
              </c:numCache>
            </c:numRef>
          </c:xVal>
          <c:yVal>
            <c:numRef>
              <c:f>'Grafica de Mapas Tematicos'!$AV$57</c:f>
              <c:numCache>
                <c:formatCode>0.00</c:formatCode>
                <c:ptCount val="1"/>
                <c:pt idx="0">
                  <c:v>4.9772901797953804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'Grafica de Mapas Tematicos'!$AT$58</c:f>
              <c:strCache>
                <c:ptCount val="1"/>
                <c:pt idx="0">
                  <c:v>Terrorism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2.7312109972793003E-2"/>
                  <c:y val="-4.2283174647424385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Tematicos'!$AU$58</c:f>
              <c:numCache>
                <c:formatCode>0.00</c:formatCode>
                <c:ptCount val="1"/>
                <c:pt idx="0">
                  <c:v>9.5726357851534587</c:v>
                </c:pt>
              </c:numCache>
            </c:numRef>
          </c:xVal>
          <c:yVal>
            <c:numRef>
              <c:f>'Grafica de Mapas Tematicos'!$AV$58</c:f>
              <c:numCache>
                <c:formatCode>0.00</c:formatCode>
                <c:ptCount val="1"/>
                <c:pt idx="0">
                  <c:v>7.4905319923630689</c:v>
                </c:pt>
              </c:numCache>
            </c:numRef>
          </c:yVal>
          <c:smooth val="0"/>
        </c:ser>
        <c:ser>
          <c:idx val="13"/>
          <c:order val="13"/>
          <c:tx>
            <c:strRef>
              <c:f>'Grafica de Mapas Tematicos'!$AT$59</c:f>
              <c:strCache>
                <c:ptCount val="1"/>
                <c:pt idx="0">
                  <c:v>India growth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6.4385310645952556E-2"/>
                  <c:y val="4.5962036082007857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Tematicos'!$AU$59</c:f>
              <c:numCache>
                <c:formatCode>0.00</c:formatCode>
                <c:ptCount val="1"/>
                <c:pt idx="0">
                  <c:v>11.765764564724703</c:v>
                </c:pt>
              </c:numCache>
            </c:numRef>
          </c:xVal>
          <c:yVal>
            <c:numRef>
              <c:f>'Grafica de Mapas Tematicos'!$AV$59</c:f>
              <c:numCache>
                <c:formatCode>0.00</c:formatCode>
                <c:ptCount val="1"/>
                <c:pt idx="0">
                  <c:v>5.656734635267088</c:v>
                </c:pt>
              </c:numCache>
            </c:numRef>
          </c:yVal>
          <c:smooth val="0"/>
        </c:ser>
        <c:ser>
          <c:idx val="14"/>
          <c:order val="14"/>
          <c:tx>
            <c:strRef>
              <c:f>'Grafica de Mapas Tematicos'!$AT$60</c:f>
              <c:strCache>
                <c:ptCount val="1"/>
                <c:pt idx="0">
                  <c:v>Brazil growth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7.2249350105893385E-3"/>
                  <c:y val="-2.0368053361286037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Brazil 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Tematicos'!$AU$60</c:f>
              <c:numCache>
                <c:formatCode>0.00</c:formatCode>
                <c:ptCount val="1"/>
                <c:pt idx="0">
                  <c:v>9.8934147466469184</c:v>
                </c:pt>
              </c:numCache>
            </c:numRef>
          </c:xVal>
          <c:yVal>
            <c:numRef>
              <c:f>'Grafica de Mapas Tematicos'!$AV$60</c:f>
              <c:numCache>
                <c:formatCode>0.00</c:formatCode>
                <c:ptCount val="1"/>
                <c:pt idx="0">
                  <c:v>6.7871444379797126</c:v>
                </c:pt>
              </c:numCache>
            </c:numRef>
          </c:yVal>
          <c:smooth val="0"/>
        </c:ser>
        <c:ser>
          <c:idx val="15"/>
          <c:order val="15"/>
          <c:tx>
            <c:strRef>
              <c:f>'Grafica de Mapas Tematicos'!$AT$61</c:f>
              <c:strCache>
                <c:ptCount val="1"/>
                <c:pt idx="0">
                  <c:v>Russia energy diplomacy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4.9235825788081375E-2"/>
                  <c:y val="4.7960385476877761E-2"/>
                </c:manualLayout>
              </c:layout>
              <c:tx>
                <c:rich>
                  <a:bodyPr/>
                  <a:lstStyle/>
                  <a:p>
                    <a:r>
                      <a:rPr lang="es-CO"/>
                      <a:t>Russia 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Tematicos'!$AU$61</c:f>
              <c:numCache>
                <c:formatCode>0.00</c:formatCode>
                <c:ptCount val="1"/>
                <c:pt idx="0">
                  <c:v>9.5014736255717285</c:v>
                </c:pt>
              </c:numCache>
            </c:numRef>
          </c:xVal>
          <c:yVal>
            <c:numRef>
              <c:f>'Grafica de Mapas Tematicos'!$AV$61</c:f>
              <c:numCache>
                <c:formatCode>0.00</c:formatCode>
                <c:ptCount val="1"/>
                <c:pt idx="0">
                  <c:v>3.9534883720930232</c:v>
                </c:pt>
              </c:numCache>
            </c:numRef>
          </c:yVal>
          <c:smooth val="0"/>
        </c:ser>
        <c:ser>
          <c:idx val="16"/>
          <c:order val="16"/>
          <c:tx>
            <c:strRef>
              <c:f>'Grafica de Mapas Tematicos'!$AT$62</c:f>
              <c:strCache>
                <c:ptCount val="1"/>
                <c:pt idx="0">
                  <c:v>EU cohesion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0794495050969467"/>
                  <c:y val="-4.4035281094591948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Tematicos'!$AU$62</c:f>
              <c:numCache>
                <c:formatCode>0.00</c:formatCode>
                <c:ptCount val="1"/>
                <c:pt idx="0">
                  <c:v>6.1039861351819757</c:v>
                </c:pt>
              </c:numCache>
            </c:numRef>
          </c:xVal>
          <c:yVal>
            <c:numRef>
              <c:f>'Grafica de Mapas Tematicos'!$AV$62</c:f>
              <c:numCache>
                <c:formatCode>0.00</c:formatCode>
                <c:ptCount val="1"/>
                <c:pt idx="0">
                  <c:v>7.8977661109339863</c:v>
                </c:pt>
              </c:numCache>
            </c:numRef>
          </c:yVal>
          <c:smooth val="0"/>
        </c:ser>
        <c:ser>
          <c:idx val="17"/>
          <c:order val="17"/>
          <c:tx>
            <c:strRef>
              <c:f>'Grafica de Mapas Tematicos'!$AT$63</c:f>
              <c:strCache>
                <c:ptCount val="1"/>
                <c:pt idx="0">
                  <c:v>Middle East / North Africa fragility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21454195472888585"/>
                  <c:y val="4.596203608200785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Tematicos'!$AU$63</c:f>
              <c:numCache>
                <c:formatCode>0.00</c:formatCode>
                <c:ptCount val="1"/>
                <c:pt idx="0">
                  <c:v>5.1170072992700728</c:v>
                </c:pt>
              </c:numCache>
            </c:numRef>
          </c:xVal>
          <c:yVal>
            <c:numRef>
              <c:f>'Grafica de Mapas Tematicos'!$AV$63</c:f>
              <c:numCache>
                <c:formatCode>0.00</c:formatCode>
                <c:ptCount val="1"/>
                <c:pt idx="0">
                  <c:v>3.4740608228980321</c:v>
                </c:pt>
              </c:numCache>
            </c:numRef>
          </c:yVal>
          <c:smooth val="0"/>
        </c:ser>
        <c:ser>
          <c:idx val="18"/>
          <c:order val="18"/>
          <c:tx>
            <c:strRef>
              <c:f>'Grafica de Mapas Tematicos'!$AT$64</c:f>
              <c:strCache>
                <c:ptCount val="1"/>
                <c:pt idx="0">
                  <c:v>US trade and policy influencing global energy markets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8.0203280277114569E-2"/>
                  <c:y val="5.167444029407770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US trade 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Tematicos'!$AU$64</c:f>
              <c:numCache>
                <c:formatCode>0.00</c:formatCode>
                <c:ptCount val="1"/>
                <c:pt idx="0">
                  <c:v>7.7696476868777591</c:v>
                </c:pt>
              </c:numCache>
            </c:numRef>
          </c:xVal>
          <c:yVal>
            <c:numRef>
              <c:f>'Grafica de Mapas Tematicos'!$AV$64</c:f>
              <c:numCache>
                <c:formatCode>0.00</c:formatCode>
                <c:ptCount val="1"/>
                <c:pt idx="0">
                  <c:v>5.9669730040206783</c:v>
                </c:pt>
              </c:numCache>
            </c:numRef>
          </c:yVal>
          <c:smooth val="0"/>
        </c:ser>
        <c:ser>
          <c:idx val="19"/>
          <c:order val="19"/>
          <c:tx>
            <c:strRef>
              <c:f>'Grafica de Mapas Tematicos'!$AT$65</c:f>
              <c:strCache>
                <c:ptCount val="1"/>
                <c:pt idx="0">
                  <c:v>Trade barriers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0801871108105758"/>
                  <c:y val="5.2267395054447052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Tematicos'!$AU$65</c:f>
              <c:numCache>
                <c:formatCode>0.00</c:formatCode>
                <c:ptCount val="1"/>
                <c:pt idx="0">
                  <c:v>6.9366206646899631</c:v>
                </c:pt>
              </c:numCache>
            </c:numRef>
          </c:xVal>
          <c:yVal>
            <c:numRef>
              <c:f>'Grafica de Mapas Tematicos'!$AV$65</c:f>
              <c:numCache>
                <c:formatCode>0.00</c:formatCode>
                <c:ptCount val="1"/>
                <c:pt idx="0">
                  <c:v>6.817642848193052</c:v>
                </c:pt>
              </c:numCache>
            </c:numRef>
          </c:yVal>
          <c:smooth val="0"/>
        </c:ser>
        <c:ser>
          <c:idx val="20"/>
          <c:order val="20"/>
          <c:tx>
            <c:strRef>
              <c:f>'Grafica de Mapas Tematicos'!$AT$66</c:f>
              <c:strCache>
                <c:ptCount val="1"/>
                <c:pt idx="0">
                  <c:v>Regional interconnection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7168770032807978"/>
                  <c:y val="-4.734042511342993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Tematicos'!$AU$66</c:f>
              <c:numCache>
                <c:formatCode>0.00</c:formatCode>
                <c:ptCount val="1"/>
                <c:pt idx="0">
                  <c:v>6.3765109615554909</c:v>
                </c:pt>
              </c:numCache>
            </c:numRef>
          </c:xVal>
          <c:yVal>
            <c:numRef>
              <c:f>'Grafica de Mapas Tematicos'!$AV$66</c:f>
              <c:numCache>
                <c:formatCode>0.00</c:formatCode>
                <c:ptCount val="1"/>
                <c:pt idx="0">
                  <c:v>9.2754548343508869</c:v>
                </c:pt>
              </c:numCache>
            </c:numRef>
          </c:yVal>
          <c:smooth val="0"/>
        </c:ser>
        <c:ser>
          <c:idx val="21"/>
          <c:order val="21"/>
          <c:tx>
            <c:strRef>
              <c:f>'Grafica de Mapas Tematicos'!$AT$67</c:f>
              <c:strCache>
                <c:ptCount val="1"/>
                <c:pt idx="0">
                  <c:v>Business cycle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3211613253135168"/>
                  <c:y val="-3.3971939712788397E-2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003399"/>
                      </a:solidFill>
                    </a:defRPr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Tematicos'!$AU$67</c:f>
              <c:numCache>
                <c:formatCode>0.00</c:formatCode>
                <c:ptCount val="1"/>
                <c:pt idx="0">
                  <c:v>11.601566282390419</c:v>
                </c:pt>
              </c:numCache>
            </c:numRef>
          </c:xVal>
          <c:yVal>
            <c:numRef>
              <c:f>'Grafica de Mapas Tematicos'!$AV$67</c:f>
              <c:numCache>
                <c:formatCode>0.00</c:formatCode>
                <c:ptCount val="1"/>
                <c:pt idx="0">
                  <c:v>10.81992148686764</c:v>
                </c:pt>
              </c:numCache>
            </c:numRef>
          </c:yVal>
          <c:smooth val="0"/>
        </c:ser>
        <c:ser>
          <c:idx val="22"/>
          <c:order val="22"/>
          <c:tx>
            <c:strRef>
              <c:f>'Grafica de Mapas Tematicos'!$AT$68</c:f>
              <c:strCache>
                <c:ptCount val="1"/>
                <c:pt idx="0">
                  <c:v>Innovative market design &amp; policies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7.1557216984428768E-3"/>
                  <c:y val="2.208935478822702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Innovative market 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Tematicos'!$AU$68</c:f>
              <c:numCache>
                <c:formatCode>0.00</c:formatCode>
                <c:ptCount val="1"/>
                <c:pt idx="0">
                  <c:v>11.49051094890511</c:v>
                </c:pt>
              </c:numCache>
            </c:numRef>
          </c:xVal>
          <c:yVal>
            <c:numRef>
              <c:f>'Grafica de Mapas Tematicos'!$AV$68</c:f>
              <c:numCache>
                <c:formatCode>0.00</c:formatCode>
                <c:ptCount val="1"/>
                <c:pt idx="0">
                  <c:v>7.9029904488743714</c:v>
                </c:pt>
              </c:numCache>
            </c:numRef>
          </c:yVal>
          <c:smooth val="0"/>
        </c:ser>
        <c:ser>
          <c:idx val="23"/>
          <c:order val="23"/>
          <c:tx>
            <c:strRef>
              <c:f>'Grafica de Mapas Tematicos'!$AT$69</c:f>
              <c:strCache>
                <c:ptCount val="1"/>
                <c:pt idx="0">
                  <c:v>Energy subsidies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4.0939115095860963E-2"/>
                  <c:y val="-0.13791057685032435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Tematicos'!$AU$69</c:f>
              <c:numCache>
                <c:formatCode>0.00</c:formatCode>
                <c:ptCount val="1"/>
                <c:pt idx="0">
                  <c:v>7.7945816664833991</c:v>
                </c:pt>
              </c:numCache>
            </c:numRef>
          </c:xVal>
          <c:yVal>
            <c:numRef>
              <c:f>'Grafica de Mapas Tematicos'!$AV$69</c:f>
              <c:numCache>
                <c:formatCode>0.00</c:formatCode>
                <c:ptCount val="1"/>
                <c:pt idx="0">
                  <c:v>7.6187982503042484</c:v>
                </c:pt>
              </c:numCache>
            </c:numRef>
          </c:yVal>
          <c:smooth val="0"/>
        </c:ser>
        <c:ser>
          <c:idx val="24"/>
          <c:order val="24"/>
          <c:tx>
            <c:strRef>
              <c:f>'Grafica de Mapas Tematicos'!$AT$70</c:f>
              <c:strCache>
                <c:ptCount val="1"/>
                <c:pt idx="0">
                  <c:v>New market players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5.0498282859570637E-3"/>
                  <c:y val="-1.9983493948699067E-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Tematicos'!$AU$70</c:f>
              <c:numCache>
                <c:formatCode>0.00</c:formatCode>
                <c:ptCount val="1"/>
                <c:pt idx="0">
                  <c:v>11.875868179982017</c:v>
                </c:pt>
              </c:numCache>
            </c:numRef>
          </c:xVal>
          <c:yVal>
            <c:numRef>
              <c:f>'Grafica de Mapas Tematicos'!$AV$70</c:f>
              <c:numCache>
                <c:formatCode>0.00</c:formatCode>
                <c:ptCount val="1"/>
                <c:pt idx="0">
                  <c:v>6.7178451226486597</c:v>
                </c:pt>
              </c:numCache>
            </c:numRef>
          </c:yVal>
          <c:smooth val="0"/>
        </c:ser>
        <c:ser>
          <c:idx val="25"/>
          <c:order val="25"/>
          <c:tx>
            <c:strRef>
              <c:f>'Grafica de Mapas Tematicos'!$AT$71</c:f>
              <c:strCache>
                <c:ptCount val="1"/>
                <c:pt idx="0">
                  <c:v>Sustainable cities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4.2576613251147047E-2"/>
                  <c:y val="4.7936468224277745E-2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006600"/>
                      </a:solidFill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Tematicos'!$AU$71</c:f>
              <c:numCache>
                <c:formatCode>0.00</c:formatCode>
                <c:ptCount val="1"/>
                <c:pt idx="0">
                  <c:v>8.0768728646399452</c:v>
                </c:pt>
              </c:numCache>
            </c:numRef>
          </c:xVal>
          <c:yVal>
            <c:numRef>
              <c:f>'Grafica de Mapas Tematicos'!$AV$71</c:f>
              <c:numCache>
                <c:formatCode>0.00</c:formatCode>
                <c:ptCount val="1"/>
                <c:pt idx="0">
                  <c:v>5.6968500762328445</c:v>
                </c:pt>
              </c:numCache>
            </c:numRef>
          </c:yVal>
          <c:smooth val="0"/>
        </c:ser>
        <c:ser>
          <c:idx val="26"/>
          <c:order val="26"/>
          <c:tx>
            <c:strRef>
              <c:f>'Grafica de Mapas Tematicos'!$AT$72</c:f>
              <c:strCache>
                <c:ptCount val="1"/>
                <c:pt idx="0">
                  <c:v>Carbon capture, utilisation &amp; storage (CCUS)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0982114064885125"/>
                  <c:y val="5.736269805491369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Tematicos'!$AU$72</c:f>
              <c:numCache>
                <c:formatCode>0.00</c:formatCode>
                <c:ptCount val="1"/>
                <c:pt idx="0">
                  <c:v>6.7125343871425418</c:v>
                </c:pt>
              </c:numCache>
            </c:numRef>
          </c:xVal>
          <c:yVal>
            <c:numRef>
              <c:f>'Grafica de Mapas Tematicos'!$AV$72</c:f>
              <c:numCache>
                <c:formatCode>0.00</c:formatCode>
                <c:ptCount val="1"/>
                <c:pt idx="0">
                  <c:v>2.6766226306720275</c:v>
                </c:pt>
              </c:numCache>
            </c:numRef>
          </c:yVal>
          <c:smooth val="0"/>
        </c:ser>
        <c:ser>
          <c:idx val="27"/>
          <c:order val="27"/>
          <c:tx>
            <c:strRef>
              <c:f>'Grafica de Mapas Tematicos'!$AT$73</c:f>
              <c:strCache>
                <c:ptCount val="1"/>
                <c:pt idx="0">
                  <c:v>Renewable energy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1.4619749918188806E-2"/>
                  <c:y val="4.1405012709974202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Tematicos'!$AU$73</c:f>
              <c:numCache>
                <c:formatCode>0.00</c:formatCode>
                <c:ptCount val="1"/>
                <c:pt idx="0">
                  <c:v>11.745240475952404</c:v>
                </c:pt>
              </c:numCache>
            </c:numRef>
          </c:xVal>
          <c:yVal>
            <c:numRef>
              <c:f>'Grafica de Mapas Tematicos'!$AV$73</c:f>
              <c:numCache>
                <c:formatCode>0.00</c:formatCode>
                <c:ptCount val="1"/>
                <c:pt idx="0">
                  <c:v>6.7284606547960939</c:v>
                </c:pt>
              </c:numCache>
            </c:numRef>
          </c:yVal>
          <c:smooth val="0"/>
        </c:ser>
        <c:ser>
          <c:idx val="28"/>
          <c:order val="28"/>
          <c:tx>
            <c:strRef>
              <c:f>'Grafica de Mapas Tematicos'!$AT$74</c:f>
              <c:strCache>
                <c:ptCount val="1"/>
                <c:pt idx="0">
                  <c:v>Biofuels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9.9837987989361165E-2"/>
                  <c:y val="-2.202952049842295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Tematicos'!$AU$74</c:f>
              <c:numCache>
                <c:formatCode>0.00</c:formatCode>
                <c:ptCount val="1"/>
                <c:pt idx="0">
                  <c:v>6.6727507378578235</c:v>
                </c:pt>
              </c:numCache>
            </c:numRef>
          </c:xVal>
          <c:yVal>
            <c:numRef>
              <c:f>'Grafica de Mapas Tematicos'!$AV$74</c:f>
              <c:numCache>
                <c:formatCode>0.00</c:formatCode>
                <c:ptCount val="1"/>
                <c:pt idx="0">
                  <c:v>8.4155576712814035</c:v>
                </c:pt>
              </c:numCache>
            </c:numRef>
          </c:yVal>
          <c:smooth val="0"/>
        </c:ser>
        <c:ser>
          <c:idx val="29"/>
          <c:order val="29"/>
          <c:tx>
            <c:strRef>
              <c:f>'Grafica de Mapas Tematicos'!$AT$75</c:f>
              <c:strCache>
                <c:ptCount val="1"/>
                <c:pt idx="0">
                  <c:v>Smart grids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7.2732948291191937E-2"/>
                  <c:y val="-5.382402510469310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Tematicos'!$AU$75</c:f>
              <c:numCache>
                <c:formatCode>0.00</c:formatCode>
                <c:ptCount val="1"/>
                <c:pt idx="0">
                  <c:v>8.2603771565251147</c:v>
                </c:pt>
              </c:numCache>
            </c:numRef>
          </c:xVal>
          <c:yVal>
            <c:numRef>
              <c:f>'Grafica de Mapas Tematicos'!$AV$75</c:f>
              <c:numCache>
                <c:formatCode>0.00</c:formatCode>
                <c:ptCount val="1"/>
                <c:pt idx="0">
                  <c:v>7.9248446477109535</c:v>
                </c:pt>
              </c:numCache>
            </c:numRef>
          </c:yVal>
          <c:smooth val="0"/>
        </c:ser>
        <c:ser>
          <c:idx val="30"/>
          <c:order val="30"/>
          <c:tx>
            <c:strRef>
              <c:f>'Grafica de Mapas Tematicos'!$AT$76</c:f>
              <c:strCache>
                <c:ptCount val="1"/>
                <c:pt idx="0">
                  <c:v>Future mobility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2.7620288211789554E-2"/>
                  <c:y val="-4.643809428732297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Tematicos'!$AU$76</c:f>
              <c:numCache>
                <c:formatCode>0.00</c:formatCode>
                <c:ptCount val="1"/>
                <c:pt idx="0">
                  <c:v>8.9829165357027829</c:v>
                </c:pt>
              </c:numCache>
            </c:numRef>
          </c:xVal>
          <c:yVal>
            <c:numRef>
              <c:f>'Grafica de Mapas Tematicos'!$AV$76</c:f>
              <c:numCache>
                <c:formatCode>0.00</c:formatCode>
                <c:ptCount val="1"/>
                <c:pt idx="0">
                  <c:v>8.1650493961181478</c:v>
                </c:pt>
              </c:numCache>
            </c:numRef>
          </c:yVal>
          <c:smooth val="0"/>
        </c:ser>
        <c:ser>
          <c:idx val="31"/>
          <c:order val="31"/>
          <c:tx>
            <c:strRef>
              <c:f>'Grafica de Mapas Tematicos'!$AT$77</c:f>
              <c:strCache>
                <c:ptCount val="1"/>
                <c:pt idx="0">
                  <c:v>Electricity storage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1.0879497180247458E-2"/>
                  <c:y val="2.012668276360706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Tematicos'!$AU$77</c:f>
              <c:numCache>
                <c:formatCode>0.00</c:formatCode>
                <c:ptCount val="1"/>
                <c:pt idx="0">
                  <c:v>8.1547362054889039</c:v>
                </c:pt>
              </c:numCache>
            </c:numRef>
          </c:xVal>
          <c:yVal>
            <c:numRef>
              <c:f>'Grafica de Mapas Tematicos'!$AV$77</c:f>
              <c:numCache>
                <c:formatCode>0.00</c:formatCode>
                <c:ptCount val="1"/>
                <c:pt idx="0">
                  <c:v>6.8974082073434122</c:v>
                </c:pt>
              </c:numCache>
            </c:numRef>
          </c:yVal>
          <c:smooth val="0"/>
        </c:ser>
        <c:ser>
          <c:idx val="32"/>
          <c:order val="32"/>
          <c:tx>
            <c:strRef>
              <c:f>'Grafica de Mapas Tematicos'!$AT$78</c:f>
              <c:strCache>
                <c:ptCount val="1"/>
                <c:pt idx="0">
                  <c:v>Hydro power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2608824793623061"/>
                  <c:y val="1.991189954124506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Tematicos'!$AU$78</c:f>
              <c:numCache>
                <c:formatCode>0.00</c:formatCode>
                <c:ptCount val="1"/>
                <c:pt idx="0">
                  <c:v>6.2127891658241179</c:v>
                </c:pt>
              </c:numCache>
            </c:numRef>
          </c:xVal>
          <c:yVal>
            <c:numRef>
              <c:f>'Grafica de Mapas Tematicos'!$AV$78</c:f>
              <c:numCache>
                <c:formatCode>0.00</c:formatCode>
                <c:ptCount val="1"/>
                <c:pt idx="0">
                  <c:v>6.7381442109559435</c:v>
                </c:pt>
              </c:numCache>
            </c:numRef>
          </c:yVal>
          <c:smooth val="0"/>
        </c:ser>
        <c:ser>
          <c:idx val="33"/>
          <c:order val="33"/>
          <c:tx>
            <c:strRef>
              <c:f>'Grafica de Mapas Tematicos'!$AT$79</c:f>
              <c:strCache>
                <c:ptCount val="1"/>
                <c:pt idx="0">
                  <c:v>Unconventional fossil fuels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9.2971577095922794E-3"/>
                  <c:y val="-2.430824198239425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Unconventional 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Tematicos'!$AU$79</c:f>
              <c:numCache>
                <c:formatCode>0.00</c:formatCode>
                <c:ptCount val="1"/>
                <c:pt idx="0">
                  <c:v>9.0548105987523311</c:v>
                </c:pt>
              </c:numCache>
            </c:numRef>
          </c:xVal>
          <c:yVal>
            <c:numRef>
              <c:f>'Grafica de Mapas Tematicos'!$AV$79</c:f>
              <c:numCache>
                <c:formatCode>0.00</c:formatCode>
                <c:ptCount val="1"/>
                <c:pt idx="0">
                  <c:v>7.9633300789124695</c:v>
                </c:pt>
              </c:numCache>
            </c:numRef>
          </c:yVal>
          <c:smooth val="0"/>
        </c:ser>
        <c:ser>
          <c:idx val="34"/>
          <c:order val="34"/>
          <c:tx>
            <c:strRef>
              <c:f>'Grafica de Mapas Tematicos'!$AT$80</c:f>
              <c:strCache>
                <c:ptCount val="1"/>
                <c:pt idx="0">
                  <c:v>Hydrogen economy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5521273495121349"/>
                  <c:y val="-3.5970289107658322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Tematicos'!$AU$80</c:f>
              <c:numCache>
                <c:formatCode>0.00</c:formatCode>
                <c:ptCount val="1"/>
                <c:pt idx="0">
                  <c:v>3.5981780804549817</c:v>
                </c:pt>
              </c:numCache>
            </c:numRef>
          </c:xVal>
          <c:yVal>
            <c:numRef>
              <c:f>'Grafica de Mapas Tematicos'!$AV$80</c:f>
              <c:numCache>
                <c:formatCode>0.00</c:formatCode>
                <c:ptCount val="1"/>
                <c:pt idx="0">
                  <c:v>7.4879348652682172</c:v>
                </c:pt>
              </c:numCache>
            </c:numRef>
          </c:yVal>
          <c:smooth val="0"/>
        </c:ser>
        <c:ser>
          <c:idx val="35"/>
          <c:order val="35"/>
          <c:tx>
            <c:strRef>
              <c:f>'Grafica de Mapas Tematicos'!$AT$81</c:f>
              <c:strCache>
                <c:ptCount val="1"/>
                <c:pt idx="0">
                  <c:v>Energy Efficiency</c:v>
                </c:pt>
              </c:strCache>
            </c:strRef>
          </c:tx>
          <c:spPr>
            <a:ln w="28575">
              <a:noFill/>
            </a:ln>
          </c:spPr>
          <c:marker>
            <c:spPr>
              <a:ln>
                <a:solidFill>
                  <a:schemeClr val="bg1"/>
                </a:solidFill>
              </a:ln>
            </c:spPr>
          </c:marker>
          <c:dPt>
            <c:idx val="0"/>
            <c:marker>
              <c:symbol val="circle"/>
              <c:size val="40"/>
              <c:spPr>
                <a:solidFill>
                  <a:srgbClr val="006600"/>
                </a:solidFill>
                <a:ln>
                  <a:solidFill>
                    <a:schemeClr val="bg1"/>
                  </a:solidFill>
                </a:ln>
              </c:spPr>
            </c:marker>
            <c:bubble3D val="0"/>
          </c:dPt>
          <c:dLbls>
            <c:dLbl>
              <c:idx val="0"/>
              <c:layout>
                <c:manualLayout>
                  <c:x val="-7.5873502329833448E-2"/>
                  <c:y val="-4.9174188138591292E-2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006600"/>
                      </a:solidFill>
                    </a:defRPr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Tematicos'!$AU$81</c:f>
              <c:numCache>
                <c:formatCode>0.00</c:formatCode>
                <c:ptCount val="1"/>
                <c:pt idx="0">
                  <c:v>12.279719143470267</c:v>
                </c:pt>
              </c:numCache>
            </c:numRef>
          </c:xVal>
          <c:yVal>
            <c:numRef>
              <c:f>'Grafica de Mapas Tematicos'!$AV$81</c:f>
              <c:numCache>
                <c:formatCode>0.00</c:formatCode>
                <c:ptCount val="1"/>
                <c:pt idx="0">
                  <c:v>8.2868514409901675</c:v>
                </c:pt>
              </c:numCache>
            </c:numRef>
          </c:yVal>
          <c:smooth val="0"/>
        </c:ser>
        <c:ser>
          <c:idx val="36"/>
          <c:order val="36"/>
          <c:tx>
            <c:strRef>
              <c:f>'Grafica de Mapas Tematicos'!$AT$82</c:f>
              <c:strCache>
                <c:ptCount val="1"/>
                <c:pt idx="0">
                  <c:v>Nuclear energy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6.0361764855926424E-3"/>
                  <c:y val="1.204973785706291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Tematicos'!$AU$82</c:f>
              <c:numCache>
                <c:formatCode>0.00</c:formatCode>
                <c:ptCount val="1"/>
                <c:pt idx="0">
                  <c:v>8.0250181241041325</c:v>
                </c:pt>
              </c:numCache>
            </c:numRef>
          </c:xVal>
          <c:yVal>
            <c:numRef>
              <c:f>'Grafica de Mapas Tematicos'!$AV$82</c:f>
              <c:numCache>
                <c:formatCode>0.00</c:formatCode>
                <c:ptCount val="1"/>
                <c:pt idx="0">
                  <c:v>6.301352547086335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12117248"/>
        <c:axId val="112119168"/>
      </c:scatterChart>
      <c:valAx>
        <c:axId val="112117248"/>
        <c:scaling>
          <c:orientation val="minMax"/>
          <c:max val="18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50"/>
                </a:pPr>
                <a:r>
                  <a:rPr lang="en-US" sz="1050"/>
                  <a:t>Impacto</a:t>
                </a:r>
              </a:p>
            </c:rich>
          </c:tx>
          <c:layout>
            <c:manualLayout>
              <c:xMode val="edge"/>
              <c:yMode val="edge"/>
              <c:x val="0.91633573615928898"/>
              <c:y val="0.96967716983149743"/>
            </c:manualLayout>
          </c:layout>
          <c:overlay val="0"/>
        </c:title>
        <c:numFmt formatCode="0.00" sourceLinked="1"/>
        <c:majorTickMark val="none"/>
        <c:minorTickMark val="none"/>
        <c:tickLblPos val="none"/>
        <c:spPr>
          <a:ln w="31750">
            <a:solidFill>
              <a:schemeClr val="tx1"/>
            </a:solidFill>
            <a:tailEnd type="arrow"/>
          </a:ln>
        </c:spPr>
        <c:crossAx val="112119168"/>
        <c:crosses val="autoZero"/>
        <c:crossBetween val="midCat"/>
        <c:majorUnit val="2"/>
        <c:minorUnit val="0.4"/>
      </c:valAx>
      <c:valAx>
        <c:axId val="112119168"/>
        <c:scaling>
          <c:orientation val="minMax"/>
          <c:max val="13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/>
                  <a:t>Incertidumbre</a:t>
                </a:r>
              </a:p>
            </c:rich>
          </c:tx>
          <c:layout>
            <c:manualLayout>
              <c:xMode val="edge"/>
              <c:yMode val="edge"/>
              <c:x val="1.1998567335243553E-4"/>
              <c:y val="4.9740532694821163E-2"/>
            </c:manualLayout>
          </c:layout>
          <c:overlay val="0"/>
        </c:title>
        <c:numFmt formatCode="0.00" sourceLinked="1"/>
        <c:majorTickMark val="none"/>
        <c:minorTickMark val="none"/>
        <c:tickLblPos val="none"/>
        <c:spPr>
          <a:ln w="31750">
            <a:solidFill>
              <a:schemeClr val="tx1"/>
            </a:solidFill>
            <a:tailEnd type="arrow"/>
          </a:ln>
        </c:spPr>
        <c:crossAx val="112117248"/>
        <c:crosses val="autoZero"/>
        <c:crossBetween val="midCat"/>
        <c:majorUnit val="2"/>
        <c:minorUnit val="0.4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9688111444746983E-2"/>
          <c:y val="1.2145718533135955E-2"/>
          <c:w val="0.98031188855525297"/>
          <c:h val="0.95518668170483001"/>
        </c:manualLayout>
      </c:layout>
      <c:scatterChart>
        <c:scatterStyle val="lineMarker"/>
        <c:varyColors val="0"/>
        <c:ser>
          <c:idx val="1"/>
          <c:order val="1"/>
          <c:tx>
            <c:strRef>
              <c:f>'Grafica de Mapas Tematicos'!$C$47</c:f>
              <c:strCache>
                <c:ptCount val="1"/>
                <c:pt idx="0">
                  <c:v>Global climate framework uncertainty</c:v>
                </c:pt>
              </c:strCache>
            </c:strRef>
          </c:tx>
          <c:spPr>
            <a:ln w="28575">
              <a:noFill/>
            </a:ln>
          </c:spPr>
          <c:marker>
            <c:spPr>
              <a:ln>
                <a:solidFill>
                  <a:schemeClr val="bg1"/>
                </a:solidFill>
              </a:ln>
            </c:spPr>
          </c:marker>
          <c:dPt>
            <c:idx val="0"/>
            <c:marker>
              <c:symbol val="circle"/>
              <c:size val="40"/>
              <c:spPr>
                <a:solidFill>
                  <a:schemeClr val="accent6">
                    <a:lumMod val="75000"/>
                  </a:schemeClr>
                </a:solidFill>
                <a:ln>
                  <a:solidFill>
                    <a:schemeClr val="bg1"/>
                  </a:solidFill>
                </a:ln>
              </c:spPr>
            </c:marker>
            <c:bubble3D val="0"/>
          </c:dPt>
          <c:dLbls>
            <c:dLbl>
              <c:idx val="0"/>
              <c:layout>
                <c:manualLayout>
                  <c:x val="-9.3326875565918579E-2"/>
                  <c:y val="-6.538778208952873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Tematicos'!$D$47</c:f>
              <c:numCache>
                <c:formatCode>General</c:formatCode>
                <c:ptCount val="1"/>
                <c:pt idx="0">
                  <c:v>12.2</c:v>
                </c:pt>
              </c:numCache>
            </c:numRef>
          </c:xVal>
          <c:yVal>
            <c:numRef>
              <c:f>'Grafica de Mapas Tematicos'!$E$47</c:f>
              <c:numCache>
                <c:formatCode>General</c:formatCode>
                <c:ptCount val="1"/>
                <c:pt idx="0">
                  <c:v>11.6</c:v>
                </c:pt>
              </c:numCache>
            </c:numRef>
          </c:yVal>
          <c:smooth val="0"/>
        </c:ser>
        <c:ser>
          <c:idx val="0"/>
          <c:order val="0"/>
          <c:tx>
            <c:strRef>
              <c:f>'Grafica de Mapas Tematicos'!$C$46</c:f>
              <c:strCache>
                <c:ptCount val="1"/>
                <c:pt idx="0">
                  <c:v>Global Recesion</c:v>
                </c:pt>
              </c:strCache>
            </c:strRef>
          </c:tx>
          <c:spPr>
            <a:ln w="0">
              <a:solidFill>
                <a:schemeClr val="tx1">
                  <a:alpha val="0"/>
                </a:schemeClr>
              </a:solidFill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5.0397570360910162E-3"/>
                  <c:y val="-1.59945845107562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Tematicos'!$D$46</c:f>
              <c:numCache>
                <c:formatCode>General</c:formatCode>
                <c:ptCount val="1"/>
                <c:pt idx="0">
                  <c:v>14.3</c:v>
                </c:pt>
              </c:numCache>
            </c:numRef>
          </c:xVal>
          <c:yVal>
            <c:numRef>
              <c:f>'Grafica de Mapas Tematicos'!$E$46</c:f>
              <c:numCache>
                <c:formatCode>General</c:formatCode>
                <c:ptCount val="1"/>
                <c:pt idx="0">
                  <c:v>10.1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'Grafica de Mapas Tematicos'!$C$48</c:f>
              <c:strCache>
                <c:ptCount val="1"/>
                <c:pt idx="0">
                  <c:v>Large scale accidents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3.7798177770683315E-3"/>
                  <c:y val="1.199593838306715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Tematicos'!$D$48</c:f>
              <c:numCache>
                <c:formatCode>General</c:formatCode>
                <c:ptCount val="1"/>
                <c:pt idx="0">
                  <c:v>10.8</c:v>
                </c:pt>
              </c:numCache>
            </c:numRef>
          </c:xVal>
          <c:yVal>
            <c:numRef>
              <c:f>'Grafica de Mapas Tematicos'!$E$48</c:f>
              <c:numCache>
                <c:formatCode>General</c:formatCode>
                <c:ptCount val="1"/>
                <c:pt idx="0">
                  <c:v>7.1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'Grafica de Mapas Tematicos'!$C$49</c:f>
              <c:strCache>
                <c:ptCount val="1"/>
                <c:pt idx="0">
                  <c:v>Capital market constraints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7.0915730798004851E-3"/>
                  <c:y val="-1.6104153711735361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Tematicos'!$D$49</c:f>
              <c:numCache>
                <c:formatCode>General</c:formatCode>
                <c:ptCount val="1"/>
                <c:pt idx="0">
                  <c:v>12.4</c:v>
                </c:pt>
              </c:numCache>
            </c:numRef>
          </c:xVal>
          <c:yVal>
            <c:numRef>
              <c:f>'Grafica de Mapas Tematicos'!$E$49</c:f>
              <c:numCache>
                <c:formatCode>General</c:formatCode>
                <c:ptCount val="1"/>
                <c:pt idx="0">
                  <c:v>8.8000000000000007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'Grafica de Mapas Tematicos'!$C$50</c:f>
              <c:strCache>
                <c:ptCount val="1"/>
                <c:pt idx="0">
                  <c:v>Commodity prices &amp; volatility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3.1410682558700519E-2"/>
                  <c:y val="-4.623647111607880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Commodity prices 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Tematicos'!$D$50</c:f>
              <c:numCache>
                <c:formatCode>General</c:formatCode>
                <c:ptCount val="1"/>
                <c:pt idx="0">
                  <c:v>11.9</c:v>
                </c:pt>
              </c:numCache>
            </c:numRef>
          </c:xVal>
          <c:yVal>
            <c:numRef>
              <c:f>'Grafica de Mapas Tematicos'!$E$50</c:f>
              <c:numCache>
                <c:formatCode>General</c:formatCode>
                <c:ptCount val="1"/>
                <c:pt idx="0">
                  <c:v>9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'Grafica de Mapas Tematicos'!$C$51</c:f>
              <c:strCache>
                <c:ptCount val="1"/>
                <c:pt idx="0">
                  <c:v>Energy prices &amp; volatility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5.039757036091109E-3"/>
                  <c:y val="-4.5984430468424084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Tematicos'!$D$51</c:f>
              <c:numCache>
                <c:formatCode>General</c:formatCode>
                <c:ptCount val="1"/>
                <c:pt idx="0">
                  <c:v>15.3</c:v>
                </c:pt>
              </c:numCache>
            </c:numRef>
          </c:xVal>
          <c:yVal>
            <c:numRef>
              <c:f>'Grafica de Mapas Tematicos'!$E$51</c:f>
              <c:numCache>
                <c:formatCode>General</c:formatCode>
                <c:ptCount val="1"/>
                <c:pt idx="0">
                  <c:v>11.4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'Grafica de Mapas Tematicos'!$C$52</c:f>
              <c:strCache>
                <c:ptCount val="1"/>
                <c:pt idx="0">
                  <c:v>Currency uncertainty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6544063994596744"/>
                  <c:y val="2.610076903095802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Tematicos'!$D$52</c:f>
              <c:numCache>
                <c:formatCode>General</c:formatCode>
                <c:ptCount val="1"/>
                <c:pt idx="0">
                  <c:v>5.5</c:v>
                </c:pt>
              </c:numCache>
            </c:numRef>
          </c:xVal>
          <c:yVal>
            <c:numRef>
              <c:f>'Grafica de Mapas Tematicos'!$E$52</c:f>
              <c:numCache>
                <c:formatCode>General</c:formatCode>
                <c:ptCount val="1"/>
                <c:pt idx="0">
                  <c:v>5.4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'Grafica de Mapas Tematicos'!$C$53</c:f>
              <c:strCache>
                <c:ptCount val="1"/>
                <c:pt idx="0">
                  <c:v>Energy water food nexus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</c:spPr>
          </c:marker>
          <c:dLbls>
            <c:dLbl>
              <c:idx val="0"/>
              <c:layout>
                <c:manualLayout>
                  <c:x val="-0.12480571389398513"/>
                  <c:y val="5.023511724376785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Energy water nexus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Tematicos'!$D$53</c:f>
              <c:numCache>
                <c:formatCode>General</c:formatCode>
                <c:ptCount val="1"/>
                <c:pt idx="0">
                  <c:v>7.8</c:v>
                </c:pt>
              </c:numCache>
            </c:numRef>
          </c:xVal>
          <c:yVal>
            <c:numRef>
              <c:f>'Grafica de Mapas Tematicos'!$E$53</c:f>
              <c:numCache>
                <c:formatCode>General</c:formatCode>
                <c:ptCount val="1"/>
                <c:pt idx="0">
                  <c:v>4.7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'Grafica de Mapas Tematicos'!$C$54</c:f>
              <c:strCache>
                <c:ptCount val="1"/>
                <c:pt idx="0">
                  <c:v>Talent scarcity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3.3117553027321536E-3"/>
                  <c:y val="3.9767637728957911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Tematicos'!$D$54</c:f>
              <c:numCache>
                <c:formatCode>General</c:formatCode>
                <c:ptCount val="1"/>
                <c:pt idx="0">
                  <c:v>8.9</c:v>
                </c:pt>
              </c:numCache>
            </c:numRef>
          </c:xVal>
          <c:yVal>
            <c:numRef>
              <c:f>'Grafica de Mapas Tematicos'!$E$54</c:f>
              <c:numCache>
                <c:formatCode>General</c:formatCode>
                <c:ptCount val="1"/>
                <c:pt idx="0">
                  <c:v>3.7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'Grafica de Mapas Tematicos'!$C$55</c:f>
              <c:strCache>
                <c:ptCount val="1"/>
                <c:pt idx="0">
                  <c:v>Energy poverty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9.7451837333706621E-3"/>
                  <c:y val="4.207347118692096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Tematicos'!$D$55</c:f>
              <c:numCache>
                <c:formatCode>General</c:formatCode>
                <c:ptCount val="1"/>
                <c:pt idx="0">
                  <c:v>7.5</c:v>
                </c:pt>
              </c:numCache>
            </c:numRef>
          </c:xVal>
          <c:yVal>
            <c:numRef>
              <c:f>'Grafica de Mapas Tematicos'!$E$55</c:f>
              <c:numCache>
                <c:formatCode>General</c:formatCode>
                <c:ptCount val="1"/>
                <c:pt idx="0">
                  <c:v>2.7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'Grafica de Mapas Tematicos'!$C$56</c:f>
              <c:strCache>
                <c:ptCount val="1"/>
                <c:pt idx="0">
                  <c:v>Energy affordability 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002258862755015"/>
                  <c:y val="5.706508819848397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Tematicos'!$D$56</c:f>
              <c:numCache>
                <c:formatCode>General</c:formatCode>
                <c:ptCount val="1"/>
                <c:pt idx="0">
                  <c:v>9.8000000000000007</c:v>
                </c:pt>
              </c:numCache>
            </c:numRef>
          </c:xVal>
          <c:yVal>
            <c:numRef>
              <c:f>'Grafica de Mapas Tematicos'!$E$56</c:f>
              <c:numCache>
                <c:formatCode>General</c:formatCode>
                <c:ptCount val="1"/>
                <c:pt idx="0">
                  <c:v>6.8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'Grafica de Mapas Tematicos'!$C$57</c:f>
              <c:strCache>
                <c:ptCount val="1"/>
                <c:pt idx="0">
                  <c:v>Corruption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3.2569925884817145E-3"/>
                  <c:y val="-1.199593838306715E-2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chemeClr val="accent6">
                          <a:lumMod val="75000"/>
                        </a:schemeClr>
                      </a:solidFill>
                    </a:defRPr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Tematicos'!$D$57</c:f>
              <c:numCache>
                <c:formatCode>General</c:formatCode>
                <c:ptCount val="1"/>
                <c:pt idx="0">
                  <c:v>8.1</c:v>
                </c:pt>
              </c:numCache>
            </c:numRef>
          </c:xVal>
          <c:yVal>
            <c:numRef>
              <c:f>'Grafica de Mapas Tematicos'!$E$57</c:f>
              <c:numCache>
                <c:formatCode>General</c:formatCode>
                <c:ptCount val="1"/>
                <c:pt idx="0">
                  <c:v>4.7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'Grafica de Mapas Tematicos'!$C$58</c:f>
              <c:strCache>
                <c:ptCount val="1"/>
                <c:pt idx="0">
                  <c:v>Terrorism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6.2328401481331418E-2"/>
                  <c:y val="-5.4113331706587532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Tematicos'!$D$58</c:f>
              <c:numCache>
                <c:formatCode>General</c:formatCode>
                <c:ptCount val="1"/>
                <c:pt idx="0">
                  <c:v>6</c:v>
                </c:pt>
              </c:numCache>
            </c:numRef>
          </c:xVal>
          <c:yVal>
            <c:numRef>
              <c:f>'Grafica de Mapas Tematicos'!$E$58</c:f>
              <c:numCache>
                <c:formatCode>General</c:formatCode>
                <c:ptCount val="1"/>
                <c:pt idx="0">
                  <c:v>7.1</c:v>
                </c:pt>
              </c:numCache>
            </c:numRef>
          </c:yVal>
          <c:smooth val="0"/>
        </c:ser>
        <c:ser>
          <c:idx val="13"/>
          <c:order val="13"/>
          <c:tx>
            <c:strRef>
              <c:f>'Grafica de Mapas Tematicos'!$C$59</c:f>
              <c:strCache>
                <c:ptCount val="1"/>
                <c:pt idx="0">
                  <c:v>India growth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2.5198785180455544E-2"/>
                  <c:y val="5.7980368851491229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Tematicos'!$D$59</c:f>
              <c:numCache>
                <c:formatCode>General</c:formatCode>
                <c:ptCount val="1"/>
                <c:pt idx="0">
                  <c:v>13.4</c:v>
                </c:pt>
              </c:numCache>
            </c:numRef>
          </c:xVal>
          <c:yVal>
            <c:numRef>
              <c:f>'Grafica de Mapas Tematicos'!$E$59</c:f>
              <c:numCache>
                <c:formatCode>General</c:formatCode>
                <c:ptCount val="1"/>
                <c:pt idx="0">
                  <c:v>5.4</c:v>
                </c:pt>
              </c:numCache>
            </c:numRef>
          </c:yVal>
          <c:smooth val="0"/>
        </c:ser>
        <c:ser>
          <c:idx val="14"/>
          <c:order val="14"/>
          <c:tx>
            <c:strRef>
              <c:f>'Grafica de Mapas Tematicos'!$C$60</c:f>
              <c:strCache>
                <c:ptCount val="1"/>
                <c:pt idx="0">
                  <c:v>Brazil growth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Tematicos'!$D$60</c:f>
              <c:numCache>
                <c:formatCode>General</c:formatCode>
                <c:ptCount val="1"/>
                <c:pt idx="0">
                  <c:v>3.6</c:v>
                </c:pt>
              </c:numCache>
            </c:numRef>
          </c:xVal>
          <c:yVal>
            <c:numRef>
              <c:f>'Grafica de Mapas Tematicos'!$E$60</c:f>
              <c:numCache>
                <c:formatCode>General</c:formatCode>
                <c:ptCount val="1"/>
                <c:pt idx="0">
                  <c:v>1.7</c:v>
                </c:pt>
              </c:numCache>
            </c:numRef>
          </c:yVal>
          <c:smooth val="0"/>
        </c:ser>
        <c:ser>
          <c:idx val="15"/>
          <c:order val="15"/>
          <c:tx>
            <c:strRef>
              <c:f>'Grafica de Mapas Tematicos'!$C$61</c:f>
              <c:strCache>
                <c:ptCount val="1"/>
                <c:pt idx="0">
                  <c:v>Russia energy diplomacy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s-CO"/>
                      <a:t>Russia </a:t>
                    </a:r>
                  </a:p>
                </c:rich>
              </c:tx>
              <c:dLblPos val="l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Tematicos'!$D$61</c:f>
              <c:numCache>
                <c:formatCode>General</c:formatCode>
                <c:ptCount val="1"/>
                <c:pt idx="0">
                  <c:v>7.8</c:v>
                </c:pt>
              </c:numCache>
            </c:numRef>
          </c:xVal>
          <c:yVal>
            <c:numRef>
              <c:f>'Grafica de Mapas Tematicos'!$E$61</c:f>
              <c:numCache>
                <c:formatCode>General</c:formatCode>
                <c:ptCount val="1"/>
                <c:pt idx="0">
                  <c:v>6.1</c:v>
                </c:pt>
              </c:numCache>
            </c:numRef>
          </c:yVal>
          <c:smooth val="0"/>
        </c:ser>
        <c:ser>
          <c:idx val="16"/>
          <c:order val="16"/>
          <c:tx>
            <c:strRef>
              <c:f>'Grafica de Mapas Tematicos'!$C$62</c:f>
              <c:strCache>
                <c:ptCount val="1"/>
                <c:pt idx="0">
                  <c:v>EU cohesion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2.4414646605391291E-2"/>
                  <c:y val="-4.141700054312319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Tematicos'!$D$62</c:f>
              <c:numCache>
                <c:formatCode>General</c:formatCode>
                <c:ptCount val="1"/>
                <c:pt idx="0">
                  <c:v>9</c:v>
                </c:pt>
              </c:numCache>
            </c:numRef>
          </c:xVal>
          <c:yVal>
            <c:numRef>
              <c:f>'Grafica de Mapas Tematicos'!$E$62</c:f>
              <c:numCache>
                <c:formatCode>General</c:formatCode>
                <c:ptCount val="1"/>
                <c:pt idx="0">
                  <c:v>7</c:v>
                </c:pt>
              </c:numCache>
            </c:numRef>
          </c:yVal>
          <c:smooth val="0"/>
        </c:ser>
        <c:ser>
          <c:idx val="17"/>
          <c:order val="17"/>
          <c:tx>
            <c:strRef>
              <c:f>'Grafica de Mapas Tematicos'!$C$63</c:f>
              <c:strCache>
                <c:ptCount val="1"/>
                <c:pt idx="0">
                  <c:v>Middle East / North Africa fragility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21285413841930798"/>
                  <c:y val="-4.998307659611314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Tematicos'!$D$63</c:f>
              <c:numCache>
                <c:formatCode>General</c:formatCode>
                <c:ptCount val="1"/>
                <c:pt idx="0">
                  <c:v>11.3</c:v>
                </c:pt>
              </c:numCache>
            </c:numRef>
          </c:xVal>
          <c:yVal>
            <c:numRef>
              <c:f>'Grafica de Mapas Tematicos'!$E$63</c:f>
              <c:numCache>
                <c:formatCode>General</c:formatCode>
                <c:ptCount val="1"/>
                <c:pt idx="0">
                  <c:v>10.5</c:v>
                </c:pt>
              </c:numCache>
            </c:numRef>
          </c:yVal>
          <c:smooth val="0"/>
        </c:ser>
        <c:ser>
          <c:idx val="18"/>
          <c:order val="18"/>
          <c:tx>
            <c:strRef>
              <c:f>'Grafica de Mapas Tematicos'!$C$64</c:f>
              <c:strCache>
                <c:ptCount val="1"/>
                <c:pt idx="0">
                  <c:v>US trade and policy influencing global energy markets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5.6325138139442739E-2"/>
                  <c:y val="6.1725872342435241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US trade 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accent4">
                        <a:lumMod val="60000"/>
                        <a:lumOff val="40000"/>
                      </a:schemeClr>
                    </a:solidFill>
                  </a:defRPr>
                </a:pPr>
                <a:endParaRPr lang="es-CO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Tematicos'!$D$64</c:f>
              <c:numCache>
                <c:formatCode>General</c:formatCode>
                <c:ptCount val="1"/>
                <c:pt idx="0">
                  <c:v>10.9</c:v>
                </c:pt>
              </c:numCache>
            </c:numRef>
          </c:xVal>
          <c:yVal>
            <c:numRef>
              <c:f>'Grafica de Mapas Tematicos'!$E$64</c:f>
              <c:numCache>
                <c:formatCode>General</c:formatCode>
                <c:ptCount val="1"/>
                <c:pt idx="0">
                  <c:v>5.4</c:v>
                </c:pt>
              </c:numCache>
            </c:numRef>
          </c:yVal>
          <c:smooth val="0"/>
        </c:ser>
        <c:ser>
          <c:idx val="19"/>
          <c:order val="19"/>
          <c:tx>
            <c:strRef>
              <c:f>'Grafica de Mapas Tematicos'!$C$65</c:f>
              <c:strCache>
                <c:ptCount val="1"/>
                <c:pt idx="0">
                  <c:v>Trade barriers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3003723963776842"/>
                  <c:y val="1.810347677557992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Tematicos'!$D$65</c:f>
              <c:numCache>
                <c:formatCode>General</c:formatCode>
                <c:ptCount val="1"/>
                <c:pt idx="0">
                  <c:v>9.1</c:v>
                </c:pt>
              </c:numCache>
            </c:numRef>
          </c:xVal>
          <c:yVal>
            <c:numRef>
              <c:f>'Grafica de Mapas Tematicos'!$E$65</c:f>
              <c:numCache>
                <c:formatCode>General</c:formatCode>
                <c:ptCount val="1"/>
                <c:pt idx="0">
                  <c:v>6.8</c:v>
                </c:pt>
              </c:numCache>
            </c:numRef>
          </c:yVal>
          <c:smooth val="0"/>
        </c:ser>
        <c:ser>
          <c:idx val="20"/>
          <c:order val="20"/>
          <c:tx>
            <c:strRef>
              <c:f>'Grafica de Mapas Tematicos'!$C$66</c:f>
              <c:strCache>
                <c:ptCount val="1"/>
                <c:pt idx="0">
                  <c:v>Regional interconnection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5.039757036091109E-3"/>
                  <c:y val="-1.9993230638445251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Tematicos'!$D$66</c:f>
              <c:numCache>
                <c:formatCode>General</c:formatCode>
                <c:ptCount val="1"/>
                <c:pt idx="0">
                  <c:v>12.6</c:v>
                </c:pt>
              </c:numCache>
            </c:numRef>
          </c:xVal>
          <c:yVal>
            <c:numRef>
              <c:f>'Grafica de Mapas Tematicos'!$E$66</c:f>
              <c:numCache>
                <c:formatCode>General</c:formatCode>
                <c:ptCount val="1"/>
                <c:pt idx="0">
                  <c:v>6.3</c:v>
                </c:pt>
              </c:numCache>
            </c:numRef>
          </c:yVal>
          <c:smooth val="0"/>
        </c:ser>
        <c:ser>
          <c:idx val="21"/>
          <c:order val="21"/>
          <c:tx>
            <c:strRef>
              <c:f>'Grafica de Mapas Tematicos'!$C$67</c:f>
              <c:strCache>
                <c:ptCount val="1"/>
                <c:pt idx="0">
                  <c:v>Business cycle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2602825180649993"/>
                  <c:y val="-3.4109081177239167E-2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003399"/>
                      </a:solidFill>
                    </a:defRPr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Tematicos'!$D$67</c:f>
              <c:numCache>
                <c:formatCode>General</c:formatCode>
                <c:ptCount val="1"/>
                <c:pt idx="0">
                  <c:v>9.9</c:v>
                </c:pt>
              </c:numCache>
            </c:numRef>
          </c:xVal>
          <c:yVal>
            <c:numRef>
              <c:f>'Grafica de Mapas Tematicos'!$E$67</c:f>
              <c:numCache>
                <c:formatCode>General</c:formatCode>
                <c:ptCount val="1"/>
                <c:pt idx="0">
                  <c:v>8.4</c:v>
                </c:pt>
              </c:numCache>
            </c:numRef>
          </c:yVal>
          <c:smooth val="0"/>
        </c:ser>
        <c:ser>
          <c:idx val="22"/>
          <c:order val="22"/>
          <c:tx>
            <c:strRef>
              <c:f>'Grafica de Mapas Tematicos'!$C$68</c:f>
              <c:strCache>
                <c:ptCount val="1"/>
                <c:pt idx="0">
                  <c:v>Innovative market design &amp; policies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1.471807470169946E-2"/>
                  <c:y val="3.408719882244594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Innovative market design 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Tematicos'!$D$68</c:f>
              <c:numCache>
                <c:formatCode>General</c:formatCode>
                <c:ptCount val="1"/>
                <c:pt idx="0">
                  <c:v>10.8</c:v>
                </c:pt>
              </c:numCache>
            </c:numRef>
          </c:xVal>
          <c:yVal>
            <c:numRef>
              <c:f>'Grafica de Mapas Tematicos'!$E$68</c:f>
              <c:numCache>
                <c:formatCode>General</c:formatCode>
                <c:ptCount val="1"/>
                <c:pt idx="0">
                  <c:v>7.7</c:v>
                </c:pt>
              </c:numCache>
            </c:numRef>
          </c:yVal>
          <c:smooth val="0"/>
        </c:ser>
        <c:ser>
          <c:idx val="23"/>
          <c:order val="23"/>
          <c:tx>
            <c:strRef>
              <c:f>'Grafica de Mapas Tematicos'!$C$69</c:f>
              <c:strCache>
                <c:ptCount val="1"/>
                <c:pt idx="0">
                  <c:v>Energy subsidies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8.485244474347885E-3"/>
                  <c:y val="2.6100769030958024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Tematicos'!$D$69</c:f>
              <c:numCache>
                <c:formatCode>General</c:formatCode>
                <c:ptCount val="1"/>
                <c:pt idx="0">
                  <c:v>11.6</c:v>
                </c:pt>
              </c:numCache>
            </c:numRef>
          </c:xVal>
          <c:yVal>
            <c:numRef>
              <c:f>'Grafica de Mapas Tematicos'!$E$69</c:f>
              <c:numCache>
                <c:formatCode>General</c:formatCode>
                <c:ptCount val="1"/>
                <c:pt idx="0">
                  <c:v>8</c:v>
                </c:pt>
              </c:numCache>
            </c:numRef>
          </c:yVal>
          <c:smooth val="0"/>
        </c:ser>
        <c:ser>
          <c:idx val="24"/>
          <c:order val="24"/>
          <c:tx>
            <c:strRef>
              <c:f>'Grafica de Mapas Tematicos'!$C$70</c:f>
              <c:strCache>
                <c:ptCount val="1"/>
                <c:pt idx="0">
                  <c:v>New market players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3399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6326917927655876"/>
                  <c:y val="1.599458451075627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3399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Tematicos'!$D$70</c:f>
              <c:numCache>
                <c:formatCode>General</c:formatCode>
                <c:ptCount val="1"/>
                <c:pt idx="0">
                  <c:v>5.7</c:v>
                </c:pt>
              </c:numCache>
            </c:numRef>
          </c:xVal>
          <c:yVal>
            <c:numRef>
              <c:f>'Grafica de Mapas Tematicos'!$E$70</c:f>
              <c:numCache>
                <c:formatCode>General</c:formatCode>
                <c:ptCount val="1"/>
                <c:pt idx="0">
                  <c:v>4.4000000000000004</c:v>
                </c:pt>
              </c:numCache>
            </c:numRef>
          </c:yVal>
          <c:smooth val="0"/>
        </c:ser>
        <c:ser>
          <c:idx val="25"/>
          <c:order val="25"/>
          <c:tx>
            <c:strRef>
              <c:f>'Grafica de Mapas Tematicos'!$C$71</c:f>
              <c:strCache>
                <c:ptCount val="1"/>
                <c:pt idx="0">
                  <c:v>Sustainable cities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5.965379754196292E-3"/>
                  <c:y val="-4.0205688503421547E-3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006600"/>
                      </a:solidFill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Tematicos'!$D$71</c:f>
              <c:numCache>
                <c:formatCode>General</c:formatCode>
                <c:ptCount val="1"/>
                <c:pt idx="0">
                  <c:v>7.8</c:v>
                </c:pt>
              </c:numCache>
            </c:numRef>
          </c:xVal>
          <c:yVal>
            <c:numRef>
              <c:f>'Grafica de Mapas Tematicos'!$E$71</c:f>
              <c:numCache>
                <c:formatCode>General</c:formatCode>
                <c:ptCount val="1"/>
                <c:pt idx="0">
                  <c:v>5.4</c:v>
                </c:pt>
              </c:numCache>
            </c:numRef>
          </c:yVal>
          <c:smooth val="0"/>
        </c:ser>
        <c:ser>
          <c:idx val="26"/>
          <c:order val="26"/>
          <c:tx>
            <c:strRef>
              <c:f>'Grafica de Mapas Tematicos'!$C$72</c:f>
              <c:strCache>
                <c:ptCount val="1"/>
                <c:pt idx="0">
                  <c:v>Carbon capture, utilisation &amp; storage (CCUS)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Tematicos'!$D$72</c:f>
              <c:numCache>
                <c:formatCode>General</c:formatCode>
                <c:ptCount val="1"/>
                <c:pt idx="0">
                  <c:v>4.9000000000000004</c:v>
                </c:pt>
              </c:numCache>
            </c:numRef>
          </c:xVal>
          <c:yVal>
            <c:numRef>
              <c:f>'Grafica de Mapas Tematicos'!$E$72</c:f>
              <c:numCache>
                <c:formatCode>General</c:formatCode>
                <c:ptCount val="1"/>
                <c:pt idx="0">
                  <c:v>8.6999999999999993</c:v>
                </c:pt>
              </c:numCache>
            </c:numRef>
          </c:yVal>
          <c:smooth val="0"/>
        </c:ser>
        <c:ser>
          <c:idx val="27"/>
          <c:order val="27"/>
          <c:tx>
            <c:strRef>
              <c:f>'Grafica de Mapas Tematicos'!$C$73</c:f>
              <c:strCache>
                <c:ptCount val="1"/>
                <c:pt idx="0">
                  <c:v>Renewable energy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3.5792278525177755E-3"/>
                  <c:y val="-4.020568850342081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Tematicos'!$D$73</c:f>
              <c:numCache>
                <c:formatCode>General</c:formatCode>
                <c:ptCount val="1"/>
                <c:pt idx="0">
                  <c:v>13.6</c:v>
                </c:pt>
              </c:numCache>
            </c:numRef>
          </c:xVal>
          <c:yVal>
            <c:numRef>
              <c:f>'Grafica de Mapas Tematicos'!$E$73</c:f>
              <c:numCache>
                <c:formatCode>General</c:formatCode>
                <c:ptCount val="1"/>
                <c:pt idx="0">
                  <c:v>8.3000000000000007</c:v>
                </c:pt>
              </c:numCache>
            </c:numRef>
          </c:yVal>
          <c:smooth val="0"/>
        </c:ser>
        <c:ser>
          <c:idx val="28"/>
          <c:order val="28"/>
          <c:tx>
            <c:strRef>
              <c:f>'Grafica de Mapas Tematicos'!$C$74</c:f>
              <c:strCache>
                <c:ptCount val="1"/>
                <c:pt idx="0">
                  <c:v>Biofuels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6.6139668135967486E-2"/>
                  <c:y val="-5.377344678573396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Tematicos'!$D$74</c:f>
              <c:numCache>
                <c:formatCode>General</c:formatCode>
                <c:ptCount val="1"/>
                <c:pt idx="0">
                  <c:v>4.5</c:v>
                </c:pt>
              </c:numCache>
            </c:numRef>
          </c:xVal>
          <c:yVal>
            <c:numRef>
              <c:f>'Grafica de Mapas Tematicos'!$E$74</c:f>
              <c:numCache>
                <c:formatCode>General</c:formatCode>
                <c:ptCount val="1"/>
                <c:pt idx="0">
                  <c:v>6</c:v>
                </c:pt>
              </c:numCache>
            </c:numRef>
          </c:yVal>
          <c:smooth val="0"/>
        </c:ser>
        <c:ser>
          <c:idx val="29"/>
          <c:order val="29"/>
          <c:tx>
            <c:strRef>
              <c:f>'Grafica de Mapas Tematicos'!$C$75</c:f>
              <c:strCache>
                <c:ptCount val="1"/>
                <c:pt idx="0">
                  <c:v>Smart grids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8.485244474347885E-3"/>
                  <c:y val="2.199255370228977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Tematicos'!$D$75</c:f>
              <c:numCache>
                <c:formatCode>General</c:formatCode>
                <c:ptCount val="1"/>
                <c:pt idx="0">
                  <c:v>10.6</c:v>
                </c:pt>
              </c:numCache>
            </c:numRef>
          </c:xVal>
          <c:yVal>
            <c:numRef>
              <c:f>'Grafica de Mapas Tematicos'!$E$75</c:f>
              <c:numCache>
                <c:formatCode>General</c:formatCode>
                <c:ptCount val="1"/>
                <c:pt idx="0">
                  <c:v>6.4</c:v>
                </c:pt>
              </c:numCache>
            </c:numRef>
          </c:yVal>
          <c:smooth val="0"/>
        </c:ser>
        <c:ser>
          <c:idx val="30"/>
          <c:order val="30"/>
          <c:tx>
            <c:strRef>
              <c:f>'Grafica de Mapas Tematicos'!$C$76</c:f>
              <c:strCache>
                <c:ptCount val="1"/>
                <c:pt idx="0">
                  <c:v>Future mobility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21771145228238"/>
                  <c:y val="-4.0282424061144649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Tematicos'!$D$76</c:f>
              <c:numCache>
                <c:formatCode>General</c:formatCode>
                <c:ptCount val="1"/>
                <c:pt idx="0">
                  <c:v>8.4</c:v>
                </c:pt>
              </c:numCache>
            </c:numRef>
          </c:xVal>
          <c:yVal>
            <c:numRef>
              <c:f>'Grafica de Mapas Tematicos'!$E$76</c:f>
              <c:numCache>
                <c:formatCode>General</c:formatCode>
                <c:ptCount val="1"/>
                <c:pt idx="0">
                  <c:v>7.2</c:v>
                </c:pt>
              </c:numCache>
            </c:numRef>
          </c:yVal>
          <c:smooth val="0"/>
        </c:ser>
        <c:ser>
          <c:idx val="31"/>
          <c:order val="31"/>
          <c:tx>
            <c:strRef>
              <c:f>'Grafica de Mapas Tematicos'!$C$77</c:f>
              <c:strCache>
                <c:ptCount val="1"/>
                <c:pt idx="0">
                  <c:v>Electricity storage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4204386552936149"/>
                  <c:y val="-4.0150815078359298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Tematicos'!$D$77</c:f>
              <c:numCache>
                <c:formatCode>General</c:formatCode>
                <c:ptCount val="1"/>
                <c:pt idx="0">
                  <c:v>11.1</c:v>
                </c:pt>
              </c:numCache>
            </c:numRef>
          </c:xVal>
          <c:yVal>
            <c:numRef>
              <c:f>'Grafica de Mapas Tematicos'!$E$77</c:f>
              <c:numCache>
                <c:formatCode>General</c:formatCode>
                <c:ptCount val="1"/>
                <c:pt idx="0">
                  <c:v>9.4</c:v>
                </c:pt>
              </c:numCache>
            </c:numRef>
          </c:yVal>
          <c:smooth val="0"/>
        </c:ser>
        <c:ser>
          <c:idx val="32"/>
          <c:order val="32"/>
          <c:tx>
            <c:strRef>
              <c:f>'Grafica de Mapas Tematicos'!$C$78</c:f>
              <c:strCache>
                <c:ptCount val="1"/>
                <c:pt idx="0">
                  <c:v>Hydro power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1.7171087151982702E-2"/>
                  <c:y val="4.6072117314610014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Tematicos'!$D$78</c:f>
              <c:numCache>
                <c:formatCode>General</c:formatCode>
                <c:ptCount val="1"/>
                <c:pt idx="0">
                  <c:v>8.3000000000000007</c:v>
                </c:pt>
              </c:numCache>
            </c:numRef>
          </c:xVal>
          <c:yVal>
            <c:numRef>
              <c:f>'Grafica de Mapas Tematicos'!$E$78</c:f>
              <c:numCache>
                <c:formatCode>General</c:formatCode>
                <c:ptCount val="1"/>
                <c:pt idx="0">
                  <c:v>3.3</c:v>
                </c:pt>
              </c:numCache>
            </c:numRef>
          </c:yVal>
          <c:smooth val="0"/>
        </c:ser>
        <c:ser>
          <c:idx val="33"/>
          <c:order val="33"/>
          <c:tx>
            <c:strRef>
              <c:f>'Grafica de Mapas Tematicos'!$C$79</c:f>
              <c:strCache>
                <c:ptCount val="1"/>
                <c:pt idx="0">
                  <c:v>Unconventional fossil fuels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5656543643035511"/>
                  <c:y val="5.22455175204220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Unconventional 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Tematicos'!$D$79</c:f>
              <c:numCache>
                <c:formatCode>General</c:formatCode>
                <c:ptCount val="1"/>
                <c:pt idx="0">
                  <c:v>10.9</c:v>
                </c:pt>
              </c:numCache>
            </c:numRef>
          </c:xVal>
          <c:yVal>
            <c:numRef>
              <c:f>'Grafica de Mapas Tematicos'!$E$79</c:f>
              <c:numCache>
                <c:formatCode>General</c:formatCode>
                <c:ptCount val="1"/>
                <c:pt idx="0">
                  <c:v>8.5</c:v>
                </c:pt>
              </c:numCache>
            </c:numRef>
          </c:yVal>
          <c:smooth val="0"/>
        </c:ser>
        <c:ser>
          <c:idx val="34"/>
          <c:order val="34"/>
          <c:tx>
            <c:strRef>
              <c:f>'Grafica de Mapas Tematicos'!$C$80</c:f>
              <c:strCache>
                <c:ptCount val="1"/>
                <c:pt idx="0">
                  <c:v>Hydrogen economy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466826758044385"/>
                  <c:y val="-5.2267395054447052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Tematicos'!$D$80</c:f>
              <c:numCache>
                <c:formatCode>General</c:formatCode>
                <c:ptCount val="1"/>
                <c:pt idx="0">
                  <c:v>3</c:v>
                </c:pt>
              </c:numCache>
            </c:numRef>
          </c:xVal>
          <c:yVal>
            <c:numRef>
              <c:f>'Grafica de Mapas Tematicos'!$E$80</c:f>
              <c:numCache>
                <c:formatCode>General</c:formatCode>
                <c:ptCount val="1"/>
                <c:pt idx="0">
                  <c:v>6.4</c:v>
                </c:pt>
              </c:numCache>
            </c:numRef>
          </c:yVal>
          <c:smooth val="0"/>
        </c:ser>
        <c:ser>
          <c:idx val="35"/>
          <c:order val="35"/>
          <c:tx>
            <c:strRef>
              <c:f>'Grafica de Mapas Tematicos'!$C$81</c:f>
              <c:strCache>
                <c:ptCount val="1"/>
                <c:pt idx="0">
                  <c:v>Energy Efficiency</c:v>
                </c:pt>
              </c:strCache>
            </c:strRef>
          </c:tx>
          <c:spPr>
            <a:ln w="28575">
              <a:noFill/>
            </a:ln>
          </c:spPr>
          <c:marker>
            <c:spPr>
              <a:ln>
                <a:solidFill>
                  <a:schemeClr val="bg1"/>
                </a:solidFill>
              </a:ln>
            </c:spPr>
          </c:marker>
          <c:dPt>
            <c:idx val="0"/>
            <c:marker>
              <c:symbol val="circle"/>
              <c:size val="40"/>
              <c:spPr>
                <a:solidFill>
                  <a:srgbClr val="006600"/>
                </a:solidFill>
                <a:ln>
                  <a:solidFill>
                    <a:schemeClr val="bg1"/>
                  </a:solidFill>
                </a:ln>
              </c:spPr>
            </c:marker>
            <c:bubble3D val="0"/>
          </c:dPt>
          <c:dLbls>
            <c:dLbl>
              <c:idx val="0"/>
              <c:layout>
                <c:manualLayout>
                  <c:x val="-1.8765356749817035E-2"/>
                  <c:y val="5.8243429390049041E-2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006600"/>
                      </a:solidFill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006600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Tematicos'!$D$81</c:f>
              <c:numCache>
                <c:formatCode>General</c:formatCode>
                <c:ptCount val="1"/>
                <c:pt idx="0">
                  <c:v>16.3</c:v>
                </c:pt>
              </c:numCache>
            </c:numRef>
          </c:xVal>
          <c:yVal>
            <c:numRef>
              <c:f>'Grafica de Mapas Tematicos'!$E$81</c:f>
              <c:numCache>
                <c:formatCode>General</c:formatCode>
                <c:ptCount val="1"/>
                <c:pt idx="0">
                  <c:v>7</c:v>
                </c:pt>
              </c:numCache>
            </c:numRef>
          </c:yVal>
          <c:smooth val="0"/>
        </c:ser>
        <c:ser>
          <c:idx val="36"/>
          <c:order val="36"/>
          <c:tx>
            <c:strRef>
              <c:f>'Grafica de Mapas Tematicos'!$C$82</c:f>
              <c:strCache>
                <c:ptCount val="1"/>
                <c:pt idx="0">
                  <c:v>Nuclear energy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0"/>
            <c:spPr>
              <a:solidFill>
                <a:srgbClr val="006600"/>
              </a:solidFill>
              <a:ln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-0.12362156940613507"/>
                  <c:y val="-4.004124587738006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es-CO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'Grafica de Mapas Tematicos'!$D$82</c:f>
              <c:numCache>
                <c:formatCode>General</c:formatCode>
                <c:ptCount val="1"/>
                <c:pt idx="0">
                  <c:v>10.5</c:v>
                </c:pt>
              </c:numCache>
            </c:numRef>
          </c:xVal>
          <c:yVal>
            <c:numRef>
              <c:f>'Grafica de Mapas Tematicos'!$E$82</c:f>
              <c:numCache>
                <c:formatCode>General</c:formatCode>
                <c:ptCount val="1"/>
                <c:pt idx="0">
                  <c:v>8.9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14461312"/>
        <c:axId val="114500352"/>
      </c:scatterChart>
      <c:valAx>
        <c:axId val="114461312"/>
        <c:scaling>
          <c:orientation val="minMax"/>
          <c:max val="18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s-CO" sz="1100"/>
                  <a:t>Impacto</a:t>
                </a:r>
              </a:p>
            </c:rich>
          </c:tx>
          <c:layout>
            <c:manualLayout>
              <c:xMode val="edge"/>
              <c:yMode val="edge"/>
              <c:x val="0.92842445284720732"/>
              <c:y val="0.96843525333853664"/>
            </c:manualLayout>
          </c:layout>
          <c:overlay val="0"/>
        </c:title>
        <c:numFmt formatCode="General" sourceLinked="1"/>
        <c:majorTickMark val="none"/>
        <c:minorTickMark val="none"/>
        <c:tickLblPos val="none"/>
        <c:spPr>
          <a:ln w="31750">
            <a:solidFill>
              <a:schemeClr val="tx1"/>
            </a:solidFill>
            <a:tailEnd type="arrow"/>
          </a:ln>
        </c:spPr>
        <c:crossAx val="114500352"/>
        <c:crosses val="autoZero"/>
        <c:crossBetween val="midCat"/>
        <c:majorUnit val="2"/>
        <c:minorUnit val="0.4"/>
      </c:valAx>
      <c:valAx>
        <c:axId val="114500352"/>
        <c:scaling>
          <c:orientation val="minMax"/>
          <c:max val="13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100"/>
                </a:pPr>
                <a:r>
                  <a:rPr lang="es-CO" sz="1100"/>
                  <a:t>Incertidumbre</a:t>
                </a:r>
              </a:p>
            </c:rich>
          </c:tx>
          <c:layout>
            <c:manualLayout>
              <c:xMode val="edge"/>
              <c:yMode val="edge"/>
              <c:x val="5.0781042829881615E-4"/>
              <c:y val="4.1947023372152448E-2"/>
            </c:manualLayout>
          </c:layout>
          <c:overlay val="0"/>
        </c:title>
        <c:numFmt formatCode="General" sourceLinked="1"/>
        <c:majorTickMark val="none"/>
        <c:minorTickMark val="none"/>
        <c:tickLblPos val="none"/>
        <c:spPr>
          <a:ln w="31750">
            <a:solidFill>
              <a:schemeClr val="tx1"/>
            </a:solidFill>
            <a:tailEnd type="arrow"/>
          </a:ln>
        </c:spPr>
        <c:crossAx val="114461312"/>
        <c:crosses val="autoZero"/>
        <c:crossBetween val="midCat"/>
        <c:majorUnit val="2"/>
        <c:minorUnit val="0.4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Impacto organizado de mayor a menor 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invertIfNegative val="0"/>
          <c:cat>
            <c:strRef>
              <c:f>'Promedios del estudio'!$C$53:$C$89</c:f>
              <c:strCache>
                <c:ptCount val="37"/>
                <c:pt idx="0">
                  <c:v>Energy Efficiency</c:v>
                </c:pt>
                <c:pt idx="1">
                  <c:v>Energy prices &amp; volatility</c:v>
                </c:pt>
                <c:pt idx="2">
                  <c:v>Global Recesion</c:v>
                </c:pt>
                <c:pt idx="3">
                  <c:v>Renewable energy</c:v>
                </c:pt>
                <c:pt idx="4">
                  <c:v>India growth</c:v>
                </c:pt>
                <c:pt idx="5">
                  <c:v>Regional interconnection</c:v>
                </c:pt>
                <c:pt idx="6">
                  <c:v>Capital market constraints</c:v>
                </c:pt>
                <c:pt idx="7">
                  <c:v>Global climate framework uncertainty</c:v>
                </c:pt>
                <c:pt idx="8">
                  <c:v>Commodity prices &amp; volatility</c:v>
                </c:pt>
                <c:pt idx="9">
                  <c:v>Energy subsidies</c:v>
                </c:pt>
                <c:pt idx="10">
                  <c:v>Middle East / North Africa fragility</c:v>
                </c:pt>
                <c:pt idx="11">
                  <c:v>Electricity storage</c:v>
                </c:pt>
                <c:pt idx="12">
                  <c:v>US trade and policy influencing global energy markets</c:v>
                </c:pt>
                <c:pt idx="13">
                  <c:v>Unconventional fossil fuels</c:v>
                </c:pt>
                <c:pt idx="14">
                  <c:v>Innovative market design &amp; policies</c:v>
                </c:pt>
                <c:pt idx="15">
                  <c:v>Large scale accidents</c:v>
                </c:pt>
                <c:pt idx="16">
                  <c:v>Smart grids</c:v>
                </c:pt>
                <c:pt idx="17">
                  <c:v>Nuclear energy</c:v>
                </c:pt>
                <c:pt idx="18">
                  <c:v>Business cycle</c:v>
                </c:pt>
                <c:pt idx="19">
                  <c:v>Energy affordability </c:v>
                </c:pt>
                <c:pt idx="20">
                  <c:v>Trade barriers</c:v>
                </c:pt>
                <c:pt idx="21">
                  <c:v>EU cohesion</c:v>
                </c:pt>
                <c:pt idx="22">
                  <c:v>Talent scarcity</c:v>
                </c:pt>
                <c:pt idx="23">
                  <c:v>Future mobility</c:v>
                </c:pt>
                <c:pt idx="24">
                  <c:v>Hydro power</c:v>
                </c:pt>
                <c:pt idx="25">
                  <c:v>Corruption</c:v>
                </c:pt>
                <c:pt idx="26">
                  <c:v>Energy water food nexus</c:v>
                </c:pt>
                <c:pt idx="27">
                  <c:v>Russia energy diplomacy</c:v>
                </c:pt>
                <c:pt idx="28">
                  <c:v>Sustainable cities</c:v>
                </c:pt>
                <c:pt idx="29">
                  <c:v>Energy poverty</c:v>
                </c:pt>
                <c:pt idx="30">
                  <c:v>Terrorism</c:v>
                </c:pt>
                <c:pt idx="31">
                  <c:v>New market players</c:v>
                </c:pt>
                <c:pt idx="32">
                  <c:v>Currency uncertainty</c:v>
                </c:pt>
                <c:pt idx="33">
                  <c:v>Carbon capture, utilisation &amp; storage (CCUS)</c:v>
                </c:pt>
                <c:pt idx="34">
                  <c:v>Biofuels</c:v>
                </c:pt>
                <c:pt idx="35">
                  <c:v>Brazil growth</c:v>
                </c:pt>
                <c:pt idx="36">
                  <c:v>Hydrogen economy</c:v>
                </c:pt>
              </c:strCache>
            </c:strRef>
          </c:cat>
          <c:val>
            <c:numRef>
              <c:f>'Promedios del estudio'!$D$53:$D$89</c:f>
              <c:numCache>
                <c:formatCode>0.00</c:formatCode>
                <c:ptCount val="37"/>
                <c:pt idx="0">
                  <c:v>16.3</c:v>
                </c:pt>
                <c:pt idx="1">
                  <c:v>15.3</c:v>
                </c:pt>
                <c:pt idx="2">
                  <c:v>14.3</c:v>
                </c:pt>
                <c:pt idx="3">
                  <c:v>13.6</c:v>
                </c:pt>
                <c:pt idx="4">
                  <c:v>13.4</c:v>
                </c:pt>
                <c:pt idx="5">
                  <c:v>12.6</c:v>
                </c:pt>
                <c:pt idx="6">
                  <c:v>12.4</c:v>
                </c:pt>
                <c:pt idx="7">
                  <c:v>12.2</c:v>
                </c:pt>
                <c:pt idx="8">
                  <c:v>11.9</c:v>
                </c:pt>
                <c:pt idx="9">
                  <c:v>11.6</c:v>
                </c:pt>
                <c:pt idx="10">
                  <c:v>11.3</c:v>
                </c:pt>
                <c:pt idx="11">
                  <c:v>11.1</c:v>
                </c:pt>
                <c:pt idx="12">
                  <c:v>10.9</c:v>
                </c:pt>
                <c:pt idx="13">
                  <c:v>10.9</c:v>
                </c:pt>
                <c:pt idx="14">
                  <c:v>10.8</c:v>
                </c:pt>
                <c:pt idx="15">
                  <c:v>10.8</c:v>
                </c:pt>
                <c:pt idx="16">
                  <c:v>10.6</c:v>
                </c:pt>
                <c:pt idx="17">
                  <c:v>10.5</c:v>
                </c:pt>
                <c:pt idx="18">
                  <c:v>9.9</c:v>
                </c:pt>
                <c:pt idx="19">
                  <c:v>9.8000000000000007</c:v>
                </c:pt>
                <c:pt idx="20">
                  <c:v>9.1</c:v>
                </c:pt>
                <c:pt idx="21">
                  <c:v>9</c:v>
                </c:pt>
                <c:pt idx="22">
                  <c:v>8.9</c:v>
                </c:pt>
                <c:pt idx="23">
                  <c:v>8.4</c:v>
                </c:pt>
                <c:pt idx="24">
                  <c:v>8.3000000000000007</c:v>
                </c:pt>
                <c:pt idx="25">
                  <c:v>8.1</c:v>
                </c:pt>
                <c:pt idx="26">
                  <c:v>7.8</c:v>
                </c:pt>
                <c:pt idx="27">
                  <c:v>7.8</c:v>
                </c:pt>
                <c:pt idx="28">
                  <c:v>7.8</c:v>
                </c:pt>
                <c:pt idx="29">
                  <c:v>7.5</c:v>
                </c:pt>
                <c:pt idx="30">
                  <c:v>6</c:v>
                </c:pt>
                <c:pt idx="31">
                  <c:v>5.7</c:v>
                </c:pt>
                <c:pt idx="32">
                  <c:v>5.5</c:v>
                </c:pt>
                <c:pt idx="33">
                  <c:v>4.9000000000000004</c:v>
                </c:pt>
                <c:pt idx="34">
                  <c:v>4.5</c:v>
                </c:pt>
                <c:pt idx="35">
                  <c:v>3.6</c:v>
                </c:pt>
                <c:pt idx="36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4528640"/>
        <c:axId val="114909952"/>
      </c:barChart>
      <c:catAx>
        <c:axId val="114528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4909952"/>
        <c:crosses val="autoZero"/>
        <c:auto val="1"/>
        <c:lblAlgn val="ctr"/>
        <c:lblOffset val="100"/>
        <c:noMultiLvlLbl val="0"/>
      </c:catAx>
      <c:valAx>
        <c:axId val="11490995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 impacto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45286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Temas con impacto Medio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invertIfNegative val="0"/>
          <c:cat>
            <c:strRef>
              <c:f>'Promedios del estudio'!$C$101:$C$127</c:f>
              <c:strCache>
                <c:ptCount val="27"/>
                <c:pt idx="0">
                  <c:v>Regional interconnection</c:v>
                </c:pt>
                <c:pt idx="1">
                  <c:v>Capital market constraints</c:v>
                </c:pt>
                <c:pt idx="2">
                  <c:v>Global climate framework uncertainty</c:v>
                </c:pt>
                <c:pt idx="3">
                  <c:v>Commodity prices &amp; volatility</c:v>
                </c:pt>
                <c:pt idx="4">
                  <c:v>Energy subsidies</c:v>
                </c:pt>
                <c:pt idx="5">
                  <c:v>Middle East / North Africa fragility</c:v>
                </c:pt>
                <c:pt idx="6">
                  <c:v>Electricity storage</c:v>
                </c:pt>
                <c:pt idx="7">
                  <c:v>US trade and policy influencing global energy markets</c:v>
                </c:pt>
                <c:pt idx="8">
                  <c:v>Unconventional fossil fuels</c:v>
                </c:pt>
                <c:pt idx="9">
                  <c:v>Innovative market design &amp; policies</c:v>
                </c:pt>
                <c:pt idx="10">
                  <c:v>Large scale accidents</c:v>
                </c:pt>
                <c:pt idx="11">
                  <c:v>Smart grids</c:v>
                </c:pt>
                <c:pt idx="12">
                  <c:v>Nuclear energy</c:v>
                </c:pt>
                <c:pt idx="13">
                  <c:v>Business cycle</c:v>
                </c:pt>
                <c:pt idx="14">
                  <c:v>Energy affordability </c:v>
                </c:pt>
                <c:pt idx="15">
                  <c:v>Trade barriers</c:v>
                </c:pt>
                <c:pt idx="16">
                  <c:v>EU cohesion</c:v>
                </c:pt>
                <c:pt idx="17">
                  <c:v>Talent scarcity</c:v>
                </c:pt>
                <c:pt idx="18">
                  <c:v>Future mobility</c:v>
                </c:pt>
                <c:pt idx="19">
                  <c:v>Hydro power</c:v>
                </c:pt>
                <c:pt idx="20">
                  <c:v>Corruption</c:v>
                </c:pt>
                <c:pt idx="21">
                  <c:v>Energy water food nexus</c:v>
                </c:pt>
                <c:pt idx="22">
                  <c:v>Russia energy diplomacy</c:v>
                </c:pt>
                <c:pt idx="23">
                  <c:v>Sustainable cities</c:v>
                </c:pt>
                <c:pt idx="24">
                  <c:v>Energy poverty</c:v>
                </c:pt>
                <c:pt idx="25">
                  <c:v>Terrorism</c:v>
                </c:pt>
                <c:pt idx="26">
                  <c:v>New market players</c:v>
                </c:pt>
              </c:strCache>
            </c:strRef>
          </c:cat>
          <c:val>
            <c:numRef>
              <c:f>'Promedios del estudio'!$D$101:$D$127</c:f>
              <c:numCache>
                <c:formatCode>0.00</c:formatCode>
                <c:ptCount val="27"/>
                <c:pt idx="0">
                  <c:v>12.6</c:v>
                </c:pt>
                <c:pt idx="1">
                  <c:v>12.4</c:v>
                </c:pt>
                <c:pt idx="2">
                  <c:v>12.2</c:v>
                </c:pt>
                <c:pt idx="3">
                  <c:v>11.9</c:v>
                </c:pt>
                <c:pt idx="4">
                  <c:v>11.6</c:v>
                </c:pt>
                <c:pt idx="5">
                  <c:v>11.3</c:v>
                </c:pt>
                <c:pt idx="6">
                  <c:v>11.1</c:v>
                </c:pt>
                <c:pt idx="7">
                  <c:v>10.9</c:v>
                </c:pt>
                <c:pt idx="8">
                  <c:v>10.9</c:v>
                </c:pt>
                <c:pt idx="9">
                  <c:v>10.8</c:v>
                </c:pt>
                <c:pt idx="10">
                  <c:v>10.8</c:v>
                </c:pt>
                <c:pt idx="11">
                  <c:v>10.6</c:v>
                </c:pt>
                <c:pt idx="12">
                  <c:v>10.5</c:v>
                </c:pt>
                <c:pt idx="13">
                  <c:v>9.9</c:v>
                </c:pt>
                <c:pt idx="14">
                  <c:v>9.8000000000000007</c:v>
                </c:pt>
                <c:pt idx="15">
                  <c:v>9.1</c:v>
                </c:pt>
                <c:pt idx="16">
                  <c:v>9</c:v>
                </c:pt>
                <c:pt idx="17">
                  <c:v>8.9</c:v>
                </c:pt>
                <c:pt idx="18">
                  <c:v>8.4</c:v>
                </c:pt>
                <c:pt idx="19">
                  <c:v>8.3000000000000007</c:v>
                </c:pt>
                <c:pt idx="20">
                  <c:v>8.1</c:v>
                </c:pt>
                <c:pt idx="21">
                  <c:v>7.8</c:v>
                </c:pt>
                <c:pt idx="22">
                  <c:v>7.8</c:v>
                </c:pt>
                <c:pt idx="23">
                  <c:v>7.8</c:v>
                </c:pt>
                <c:pt idx="24">
                  <c:v>7.5</c:v>
                </c:pt>
                <c:pt idx="25">
                  <c:v>6</c:v>
                </c:pt>
                <c:pt idx="26">
                  <c:v>5.7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4930432"/>
        <c:axId val="114931968"/>
      </c:barChart>
      <c:catAx>
        <c:axId val="114930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4931968"/>
        <c:crosses val="autoZero"/>
        <c:auto val="1"/>
        <c:lblAlgn val="ctr"/>
        <c:lblOffset val="100"/>
        <c:noMultiLvlLbl val="0"/>
      </c:catAx>
      <c:valAx>
        <c:axId val="11493196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 impacto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49304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invertIfNegative val="0"/>
          <c:cat>
            <c:strRef>
              <c:f>'Promedios del estudio'!$C$164:$C$200</c:f>
              <c:strCache>
                <c:ptCount val="37"/>
                <c:pt idx="0">
                  <c:v>Global climate framework uncertainty</c:v>
                </c:pt>
                <c:pt idx="1">
                  <c:v>Energy prices &amp; volatility</c:v>
                </c:pt>
                <c:pt idx="2">
                  <c:v>Middle East / North Africa fragility</c:v>
                </c:pt>
                <c:pt idx="3">
                  <c:v>Global Recesion</c:v>
                </c:pt>
                <c:pt idx="4">
                  <c:v>Electricity storage</c:v>
                </c:pt>
                <c:pt idx="5">
                  <c:v>Commodity prices &amp; volatility</c:v>
                </c:pt>
                <c:pt idx="6">
                  <c:v>Nuclear energy</c:v>
                </c:pt>
                <c:pt idx="7">
                  <c:v>Capital market constraints</c:v>
                </c:pt>
                <c:pt idx="8">
                  <c:v>Carbon capture, utilisation &amp; storage (CCUS)</c:v>
                </c:pt>
                <c:pt idx="9">
                  <c:v>Unconventional fossil fuels</c:v>
                </c:pt>
                <c:pt idx="10">
                  <c:v>Business cycle</c:v>
                </c:pt>
                <c:pt idx="11">
                  <c:v>Future mobility</c:v>
                </c:pt>
                <c:pt idx="12">
                  <c:v>Renewable energy</c:v>
                </c:pt>
                <c:pt idx="13">
                  <c:v>Energy subsidies</c:v>
                </c:pt>
                <c:pt idx="14">
                  <c:v>Innovative market design &amp; policies</c:v>
                </c:pt>
                <c:pt idx="15">
                  <c:v>Large scale accidents</c:v>
                </c:pt>
                <c:pt idx="16">
                  <c:v>Terrorism</c:v>
                </c:pt>
                <c:pt idx="17">
                  <c:v>EU cohesion</c:v>
                </c:pt>
                <c:pt idx="18">
                  <c:v>Energy Efficiency</c:v>
                </c:pt>
                <c:pt idx="19">
                  <c:v>Energy affordability </c:v>
                </c:pt>
                <c:pt idx="20">
                  <c:v>Trade barriers</c:v>
                </c:pt>
                <c:pt idx="21">
                  <c:v>Smart grids</c:v>
                </c:pt>
                <c:pt idx="22">
                  <c:v>Hydrogen economy</c:v>
                </c:pt>
                <c:pt idx="23">
                  <c:v>Regional interconnection</c:v>
                </c:pt>
                <c:pt idx="24">
                  <c:v>Russia energy diplomacy</c:v>
                </c:pt>
                <c:pt idx="25">
                  <c:v>Biofuels</c:v>
                </c:pt>
                <c:pt idx="26">
                  <c:v>Currency uncertainty</c:v>
                </c:pt>
                <c:pt idx="27">
                  <c:v>India growth</c:v>
                </c:pt>
                <c:pt idx="28">
                  <c:v>US trade and policy influencing global energy markets</c:v>
                </c:pt>
                <c:pt idx="29">
                  <c:v>Sustainable cities</c:v>
                </c:pt>
                <c:pt idx="30">
                  <c:v>Energy water food nexus</c:v>
                </c:pt>
                <c:pt idx="31">
                  <c:v>Corruption</c:v>
                </c:pt>
                <c:pt idx="32">
                  <c:v>New market players</c:v>
                </c:pt>
                <c:pt idx="33">
                  <c:v>Talent scarcity</c:v>
                </c:pt>
                <c:pt idx="34">
                  <c:v>Hydro power</c:v>
                </c:pt>
                <c:pt idx="35">
                  <c:v>Energy poverty</c:v>
                </c:pt>
                <c:pt idx="36">
                  <c:v>Brazil growth</c:v>
                </c:pt>
              </c:strCache>
            </c:strRef>
          </c:cat>
          <c:val>
            <c:numRef>
              <c:f>'Promedios del estudio'!$D$164:$D$200</c:f>
              <c:numCache>
                <c:formatCode>General</c:formatCode>
                <c:ptCount val="37"/>
                <c:pt idx="0">
                  <c:v>11.6</c:v>
                </c:pt>
                <c:pt idx="1">
                  <c:v>11.4</c:v>
                </c:pt>
                <c:pt idx="2">
                  <c:v>10.5</c:v>
                </c:pt>
                <c:pt idx="3">
                  <c:v>10.1</c:v>
                </c:pt>
                <c:pt idx="4">
                  <c:v>9.4</c:v>
                </c:pt>
                <c:pt idx="5">
                  <c:v>9</c:v>
                </c:pt>
                <c:pt idx="6">
                  <c:v>8.9</c:v>
                </c:pt>
                <c:pt idx="7">
                  <c:v>8.8000000000000007</c:v>
                </c:pt>
                <c:pt idx="8">
                  <c:v>8.6999999999999993</c:v>
                </c:pt>
                <c:pt idx="9">
                  <c:v>8.5</c:v>
                </c:pt>
                <c:pt idx="10">
                  <c:v>8.4</c:v>
                </c:pt>
                <c:pt idx="11">
                  <c:v>7.2</c:v>
                </c:pt>
                <c:pt idx="12">
                  <c:v>8.3000000000000007</c:v>
                </c:pt>
                <c:pt idx="13">
                  <c:v>8</c:v>
                </c:pt>
                <c:pt idx="14">
                  <c:v>7.7</c:v>
                </c:pt>
                <c:pt idx="15">
                  <c:v>7.1</c:v>
                </c:pt>
                <c:pt idx="16">
                  <c:v>7.1</c:v>
                </c:pt>
                <c:pt idx="17">
                  <c:v>7</c:v>
                </c:pt>
                <c:pt idx="18">
                  <c:v>7</c:v>
                </c:pt>
                <c:pt idx="19">
                  <c:v>6.8</c:v>
                </c:pt>
                <c:pt idx="20">
                  <c:v>6.8</c:v>
                </c:pt>
                <c:pt idx="21">
                  <c:v>6.4</c:v>
                </c:pt>
                <c:pt idx="22">
                  <c:v>6.4</c:v>
                </c:pt>
                <c:pt idx="23">
                  <c:v>6.3</c:v>
                </c:pt>
                <c:pt idx="24">
                  <c:v>6.1</c:v>
                </c:pt>
                <c:pt idx="25">
                  <c:v>6</c:v>
                </c:pt>
                <c:pt idx="26">
                  <c:v>5.4</c:v>
                </c:pt>
                <c:pt idx="27">
                  <c:v>5.4</c:v>
                </c:pt>
                <c:pt idx="28">
                  <c:v>5.4</c:v>
                </c:pt>
                <c:pt idx="29">
                  <c:v>5.4</c:v>
                </c:pt>
                <c:pt idx="30">
                  <c:v>4.7</c:v>
                </c:pt>
                <c:pt idx="31">
                  <c:v>4.7</c:v>
                </c:pt>
                <c:pt idx="32">
                  <c:v>4.4000000000000004</c:v>
                </c:pt>
                <c:pt idx="33">
                  <c:v>3.7</c:v>
                </c:pt>
                <c:pt idx="34">
                  <c:v>3.3</c:v>
                </c:pt>
                <c:pt idx="35">
                  <c:v>2.7</c:v>
                </c:pt>
                <c:pt idx="36">
                  <c:v>1.7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4956160"/>
        <c:axId val="114957696"/>
      </c:barChart>
      <c:catAx>
        <c:axId val="11495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4957696"/>
        <c:crosses val="autoZero"/>
        <c:auto val="1"/>
        <c:lblAlgn val="ctr"/>
        <c:lblOffset val="100"/>
        <c:noMultiLvlLbl val="0"/>
      </c:catAx>
      <c:valAx>
        <c:axId val="1149576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 Insertidumbre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9561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invertIfNegative val="0"/>
          <c:cat>
            <c:strRef>
              <c:f>'Promedios del estudio'!$C$213:$C$239</c:f>
              <c:strCache>
                <c:ptCount val="27"/>
                <c:pt idx="0">
                  <c:v>Commodity prices &amp; volatility</c:v>
                </c:pt>
                <c:pt idx="1">
                  <c:v>Nuclear energy</c:v>
                </c:pt>
                <c:pt idx="2">
                  <c:v>Capital market constraints</c:v>
                </c:pt>
                <c:pt idx="3">
                  <c:v>Carbon capture, utilisation &amp; storage (CCUS)</c:v>
                </c:pt>
                <c:pt idx="4">
                  <c:v>Unconventional fossil fuels</c:v>
                </c:pt>
                <c:pt idx="5">
                  <c:v>Business cycle</c:v>
                </c:pt>
                <c:pt idx="6">
                  <c:v>Future mobility</c:v>
                </c:pt>
                <c:pt idx="7">
                  <c:v>Renewable energy</c:v>
                </c:pt>
                <c:pt idx="8">
                  <c:v>Energy subsidies</c:v>
                </c:pt>
                <c:pt idx="9">
                  <c:v>Innovative market design &amp; policies</c:v>
                </c:pt>
                <c:pt idx="10">
                  <c:v>Large scale accidents</c:v>
                </c:pt>
                <c:pt idx="11">
                  <c:v>Terrorism</c:v>
                </c:pt>
                <c:pt idx="12">
                  <c:v>EU cohesion</c:v>
                </c:pt>
                <c:pt idx="13">
                  <c:v>Energy Efficiency</c:v>
                </c:pt>
                <c:pt idx="14">
                  <c:v>Energy affordability </c:v>
                </c:pt>
                <c:pt idx="15">
                  <c:v>Trade barriers</c:v>
                </c:pt>
                <c:pt idx="16">
                  <c:v>Smart grids</c:v>
                </c:pt>
                <c:pt idx="17">
                  <c:v>Hydrogen economy</c:v>
                </c:pt>
                <c:pt idx="18">
                  <c:v>Regional interconnection</c:v>
                </c:pt>
                <c:pt idx="19">
                  <c:v>Russia energy diplomacy</c:v>
                </c:pt>
                <c:pt idx="20">
                  <c:v>Biofuels</c:v>
                </c:pt>
                <c:pt idx="21">
                  <c:v>Currency uncertainty</c:v>
                </c:pt>
                <c:pt idx="22">
                  <c:v>India growth</c:v>
                </c:pt>
                <c:pt idx="23">
                  <c:v>US trade and policy influencing global energy markets</c:v>
                </c:pt>
                <c:pt idx="24">
                  <c:v>Sustainable cities</c:v>
                </c:pt>
                <c:pt idx="25">
                  <c:v>Energy water food nexus</c:v>
                </c:pt>
                <c:pt idx="26">
                  <c:v>Corruption</c:v>
                </c:pt>
              </c:strCache>
            </c:strRef>
          </c:cat>
          <c:val>
            <c:numRef>
              <c:f>'Promedios del estudio'!$D$213:$D$239</c:f>
              <c:numCache>
                <c:formatCode>General</c:formatCode>
                <c:ptCount val="27"/>
                <c:pt idx="0">
                  <c:v>9</c:v>
                </c:pt>
                <c:pt idx="1">
                  <c:v>8.9</c:v>
                </c:pt>
                <c:pt idx="2">
                  <c:v>8.8000000000000007</c:v>
                </c:pt>
                <c:pt idx="3">
                  <c:v>8.6999999999999993</c:v>
                </c:pt>
                <c:pt idx="4">
                  <c:v>8.5</c:v>
                </c:pt>
                <c:pt idx="5">
                  <c:v>8.4</c:v>
                </c:pt>
                <c:pt idx="6">
                  <c:v>7.2</c:v>
                </c:pt>
                <c:pt idx="7">
                  <c:v>8.3000000000000007</c:v>
                </c:pt>
                <c:pt idx="8">
                  <c:v>8</c:v>
                </c:pt>
                <c:pt idx="9">
                  <c:v>7.7</c:v>
                </c:pt>
                <c:pt idx="10">
                  <c:v>7.1</c:v>
                </c:pt>
                <c:pt idx="11">
                  <c:v>7.1</c:v>
                </c:pt>
                <c:pt idx="12">
                  <c:v>7</c:v>
                </c:pt>
                <c:pt idx="13">
                  <c:v>7</c:v>
                </c:pt>
                <c:pt idx="14">
                  <c:v>6.8</c:v>
                </c:pt>
                <c:pt idx="15">
                  <c:v>6.8</c:v>
                </c:pt>
                <c:pt idx="16">
                  <c:v>6.4</c:v>
                </c:pt>
                <c:pt idx="17">
                  <c:v>6.4</c:v>
                </c:pt>
                <c:pt idx="18">
                  <c:v>6.3</c:v>
                </c:pt>
                <c:pt idx="19">
                  <c:v>6.1</c:v>
                </c:pt>
                <c:pt idx="20">
                  <c:v>6</c:v>
                </c:pt>
                <c:pt idx="21">
                  <c:v>5.4</c:v>
                </c:pt>
                <c:pt idx="22">
                  <c:v>5.4</c:v>
                </c:pt>
                <c:pt idx="23">
                  <c:v>5.4</c:v>
                </c:pt>
                <c:pt idx="24">
                  <c:v>5.4</c:v>
                </c:pt>
                <c:pt idx="25">
                  <c:v>4.7</c:v>
                </c:pt>
                <c:pt idx="26">
                  <c:v>4.7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4969984"/>
        <c:axId val="114988160"/>
      </c:barChart>
      <c:catAx>
        <c:axId val="114969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4988160"/>
        <c:crosses val="autoZero"/>
        <c:auto val="1"/>
        <c:lblAlgn val="ctr"/>
        <c:lblOffset val="100"/>
        <c:noMultiLvlLbl val="0"/>
      </c:catAx>
      <c:valAx>
        <c:axId val="11498816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 Insertidumbre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969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Promedio de Busquedas ultimo año organizado de mayor a menor </a:t>
            </a:r>
          </a:p>
        </c:rich>
      </c:tx>
      <c:layout>
        <c:manualLayout>
          <c:xMode val="edge"/>
          <c:yMode val="edge"/>
          <c:x val="0.21429505686789149"/>
          <c:y val="2.473904873787397E-2"/>
        </c:manualLayout>
      </c:layout>
      <c:overlay val="1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invertIfNegative val="0"/>
          <c:cat>
            <c:strRef>
              <c:f>'Google Trends'!$D$168:$D$202</c:f>
              <c:strCache>
                <c:ptCount val="35"/>
                <c:pt idx="0">
                  <c:v>Innovative market design &amp; policies</c:v>
                </c:pt>
                <c:pt idx="1">
                  <c:v>Capital market constraints</c:v>
                </c:pt>
                <c:pt idx="2">
                  <c:v>Renewable energy</c:v>
                </c:pt>
                <c:pt idx="3">
                  <c:v>Unconventional fossil fuels</c:v>
                </c:pt>
                <c:pt idx="4">
                  <c:v>Energy Efficiency</c:v>
                </c:pt>
                <c:pt idx="5">
                  <c:v>Global climate framework uncertainty</c:v>
                </c:pt>
                <c:pt idx="6">
                  <c:v>Brazil growth</c:v>
                </c:pt>
                <c:pt idx="7">
                  <c:v>New market players</c:v>
                </c:pt>
                <c:pt idx="8">
                  <c:v>India growth</c:v>
                </c:pt>
                <c:pt idx="9">
                  <c:v>Smart grids</c:v>
                </c:pt>
                <c:pt idx="10">
                  <c:v>Future mobility</c:v>
                </c:pt>
                <c:pt idx="11">
                  <c:v>Business cycle</c:v>
                </c:pt>
                <c:pt idx="12">
                  <c:v>Energy water food nexus</c:v>
                </c:pt>
                <c:pt idx="13">
                  <c:v>Electricity storage</c:v>
                </c:pt>
                <c:pt idx="14">
                  <c:v>Corruption</c:v>
                </c:pt>
                <c:pt idx="15">
                  <c:v>Sustainable cities</c:v>
                </c:pt>
                <c:pt idx="16">
                  <c:v>US trade and policy influencing global energy markets</c:v>
                </c:pt>
                <c:pt idx="17">
                  <c:v>Energy subsidies</c:v>
                </c:pt>
                <c:pt idx="18">
                  <c:v>Energy poverty</c:v>
                </c:pt>
                <c:pt idx="19">
                  <c:v>Talent scarcity</c:v>
                </c:pt>
                <c:pt idx="20">
                  <c:v>Energy prices &amp; volatility</c:v>
                </c:pt>
                <c:pt idx="21">
                  <c:v>Energy affordability </c:v>
                </c:pt>
                <c:pt idx="22">
                  <c:v>Commodity prices &amp; volatility</c:v>
                </c:pt>
                <c:pt idx="23">
                  <c:v>Carbon capture, utilisation &amp; storage (CCUS)</c:v>
                </c:pt>
                <c:pt idx="24">
                  <c:v>Trade barriers</c:v>
                </c:pt>
                <c:pt idx="25">
                  <c:v>Biofuels</c:v>
                </c:pt>
                <c:pt idx="26">
                  <c:v>Regional interconnection</c:v>
                </c:pt>
                <c:pt idx="27">
                  <c:v>Nuclear energy</c:v>
                </c:pt>
                <c:pt idx="28">
                  <c:v>EU cohesion</c:v>
                </c:pt>
                <c:pt idx="29">
                  <c:v>Hydro power</c:v>
                </c:pt>
                <c:pt idx="30">
                  <c:v>Terrorism</c:v>
                </c:pt>
                <c:pt idx="31">
                  <c:v>Russia energy diplomacy</c:v>
                </c:pt>
                <c:pt idx="32">
                  <c:v>Middle East / North Africa fragility</c:v>
                </c:pt>
                <c:pt idx="33">
                  <c:v>Large scale accidents</c:v>
                </c:pt>
                <c:pt idx="34">
                  <c:v>Currency uncertainty</c:v>
                </c:pt>
              </c:strCache>
            </c:strRef>
          </c:cat>
          <c:val>
            <c:numRef>
              <c:f>'Google Trends'!$E$168:$E$202</c:f>
              <c:numCache>
                <c:formatCode>0.00</c:formatCode>
                <c:ptCount val="35"/>
                <c:pt idx="0">
                  <c:v>66.36363636363636</c:v>
                </c:pt>
                <c:pt idx="1">
                  <c:v>53.96153846153846</c:v>
                </c:pt>
                <c:pt idx="2">
                  <c:v>50</c:v>
                </c:pt>
                <c:pt idx="3">
                  <c:v>49</c:v>
                </c:pt>
                <c:pt idx="4">
                  <c:v>48.115384615384613</c:v>
                </c:pt>
                <c:pt idx="5">
                  <c:v>48.083333333333336</c:v>
                </c:pt>
                <c:pt idx="6">
                  <c:v>45.71153846153846</c:v>
                </c:pt>
                <c:pt idx="7">
                  <c:v>45.5</c:v>
                </c:pt>
                <c:pt idx="8">
                  <c:v>44.865384615384613</c:v>
                </c:pt>
                <c:pt idx="9">
                  <c:v>44.019230769230766</c:v>
                </c:pt>
                <c:pt idx="10">
                  <c:v>43.346153846153847</c:v>
                </c:pt>
                <c:pt idx="11">
                  <c:v>42.519230769230766</c:v>
                </c:pt>
                <c:pt idx="12">
                  <c:v>39.75</c:v>
                </c:pt>
                <c:pt idx="13">
                  <c:v>38.46153846153846</c:v>
                </c:pt>
                <c:pt idx="14">
                  <c:v>37.192307692307693</c:v>
                </c:pt>
                <c:pt idx="15">
                  <c:v>36.865384615384613</c:v>
                </c:pt>
                <c:pt idx="16">
                  <c:v>36</c:v>
                </c:pt>
                <c:pt idx="17">
                  <c:v>34.980769230769234</c:v>
                </c:pt>
                <c:pt idx="18">
                  <c:v>34.269230769230766</c:v>
                </c:pt>
                <c:pt idx="19">
                  <c:v>27.833333333333332</c:v>
                </c:pt>
                <c:pt idx="20">
                  <c:v>26.557692307692307</c:v>
                </c:pt>
                <c:pt idx="21">
                  <c:v>26</c:v>
                </c:pt>
                <c:pt idx="22">
                  <c:v>23.23076923076923</c:v>
                </c:pt>
                <c:pt idx="23">
                  <c:v>22.403846153846153</c:v>
                </c:pt>
                <c:pt idx="24">
                  <c:v>20.884615384615383</c:v>
                </c:pt>
                <c:pt idx="25">
                  <c:v>19.365384615384617</c:v>
                </c:pt>
                <c:pt idx="26">
                  <c:v>18.5</c:v>
                </c:pt>
                <c:pt idx="27">
                  <c:v>18.28846153846154</c:v>
                </c:pt>
                <c:pt idx="28">
                  <c:v>15.166666666666666</c:v>
                </c:pt>
                <c:pt idx="29">
                  <c:v>14.653846153846153</c:v>
                </c:pt>
                <c:pt idx="30">
                  <c:v>14.634615384615385</c:v>
                </c:pt>
                <c:pt idx="31">
                  <c:v>13.666666666666666</c:v>
                </c:pt>
                <c:pt idx="32">
                  <c:v>7.75</c:v>
                </c:pt>
                <c:pt idx="33">
                  <c:v>6.0192307692307692</c:v>
                </c:pt>
                <c:pt idx="34">
                  <c:v>5.083333333333333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5197056"/>
        <c:axId val="115198592"/>
      </c:barChart>
      <c:catAx>
        <c:axId val="115197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5198592"/>
        <c:crosses val="autoZero"/>
        <c:auto val="1"/>
        <c:lblAlgn val="ctr"/>
        <c:lblOffset val="100"/>
        <c:noMultiLvlLbl val="0"/>
      </c:catAx>
      <c:valAx>
        <c:axId val="11519859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 tendencia de Busqueda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51970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Temas con promedio de busquedas medio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invertIfNegative val="0"/>
          <c:cat>
            <c:strRef>
              <c:f>'Google Trends'!$D$217:$D$241</c:f>
              <c:strCache>
                <c:ptCount val="25"/>
                <c:pt idx="0">
                  <c:v>Global climate framework uncertainty</c:v>
                </c:pt>
                <c:pt idx="1">
                  <c:v>Brazil growth</c:v>
                </c:pt>
                <c:pt idx="2">
                  <c:v>New market players</c:v>
                </c:pt>
                <c:pt idx="3">
                  <c:v>India growth</c:v>
                </c:pt>
                <c:pt idx="4">
                  <c:v>Smart grids</c:v>
                </c:pt>
                <c:pt idx="5">
                  <c:v>Future mobility</c:v>
                </c:pt>
                <c:pt idx="6">
                  <c:v>Business cycle</c:v>
                </c:pt>
                <c:pt idx="7">
                  <c:v>Energy water food nexus</c:v>
                </c:pt>
                <c:pt idx="8">
                  <c:v>Electricity storage</c:v>
                </c:pt>
                <c:pt idx="9">
                  <c:v>Corruption</c:v>
                </c:pt>
                <c:pt idx="10">
                  <c:v>Sustainable cities</c:v>
                </c:pt>
                <c:pt idx="11">
                  <c:v>US trade and policy influencing global energy markets</c:v>
                </c:pt>
                <c:pt idx="12">
                  <c:v>Energy subsidies</c:v>
                </c:pt>
                <c:pt idx="13">
                  <c:v>Energy poverty</c:v>
                </c:pt>
                <c:pt idx="14">
                  <c:v>Talent scarcity</c:v>
                </c:pt>
                <c:pt idx="15">
                  <c:v>Energy prices &amp; volatility</c:v>
                </c:pt>
                <c:pt idx="16">
                  <c:v>Energy affordability </c:v>
                </c:pt>
                <c:pt idx="17">
                  <c:v>Commodity prices &amp; volatility</c:v>
                </c:pt>
                <c:pt idx="18">
                  <c:v>Carbon capture, utilisation &amp; storage (CCUS)</c:v>
                </c:pt>
                <c:pt idx="19">
                  <c:v>Trade barriers</c:v>
                </c:pt>
                <c:pt idx="20">
                  <c:v>Biofuels</c:v>
                </c:pt>
                <c:pt idx="21">
                  <c:v>Regional interconnection</c:v>
                </c:pt>
                <c:pt idx="22">
                  <c:v>Nuclear energy</c:v>
                </c:pt>
                <c:pt idx="23">
                  <c:v>EU cohesion</c:v>
                </c:pt>
                <c:pt idx="24">
                  <c:v>Hydro power</c:v>
                </c:pt>
              </c:strCache>
            </c:strRef>
          </c:cat>
          <c:val>
            <c:numRef>
              <c:f>'Google Trends'!$E$217:$E$241</c:f>
              <c:numCache>
                <c:formatCode>0.00</c:formatCode>
                <c:ptCount val="25"/>
                <c:pt idx="0">
                  <c:v>48.083333333333336</c:v>
                </c:pt>
                <c:pt idx="1">
                  <c:v>45.71153846153846</c:v>
                </c:pt>
                <c:pt idx="2">
                  <c:v>45.5</c:v>
                </c:pt>
                <c:pt idx="3">
                  <c:v>44.865384615384613</c:v>
                </c:pt>
                <c:pt idx="4">
                  <c:v>44.019230769230766</c:v>
                </c:pt>
                <c:pt idx="5">
                  <c:v>43.346153846153847</c:v>
                </c:pt>
                <c:pt idx="6">
                  <c:v>42.519230769230766</c:v>
                </c:pt>
                <c:pt idx="7">
                  <c:v>39.75</c:v>
                </c:pt>
                <c:pt idx="8">
                  <c:v>38.46153846153846</c:v>
                </c:pt>
                <c:pt idx="9">
                  <c:v>37.192307692307693</c:v>
                </c:pt>
                <c:pt idx="10">
                  <c:v>36.865384615384613</c:v>
                </c:pt>
                <c:pt idx="11">
                  <c:v>36</c:v>
                </c:pt>
                <c:pt idx="12">
                  <c:v>34.980769230769234</c:v>
                </c:pt>
                <c:pt idx="13">
                  <c:v>34.269230769230766</c:v>
                </c:pt>
                <c:pt idx="14">
                  <c:v>27.833333333333332</c:v>
                </c:pt>
                <c:pt idx="15">
                  <c:v>26.557692307692307</c:v>
                </c:pt>
                <c:pt idx="16">
                  <c:v>26</c:v>
                </c:pt>
                <c:pt idx="17">
                  <c:v>23.23076923076923</c:v>
                </c:pt>
                <c:pt idx="18">
                  <c:v>22.403846153846153</c:v>
                </c:pt>
                <c:pt idx="19">
                  <c:v>20.884615384615383</c:v>
                </c:pt>
                <c:pt idx="20">
                  <c:v>19.365384615384617</c:v>
                </c:pt>
                <c:pt idx="21">
                  <c:v>18.5</c:v>
                </c:pt>
                <c:pt idx="22">
                  <c:v>18.28846153846154</c:v>
                </c:pt>
                <c:pt idx="23">
                  <c:v>15.166666666666666</c:v>
                </c:pt>
                <c:pt idx="24">
                  <c:v>14.653846153846153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689344"/>
        <c:axId val="95711616"/>
      </c:barChart>
      <c:catAx>
        <c:axId val="95689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5711616"/>
        <c:crosses val="autoZero"/>
        <c:auto val="1"/>
        <c:lblAlgn val="ctr"/>
        <c:lblOffset val="100"/>
        <c:noMultiLvlLbl val="0"/>
      </c:catAx>
      <c:valAx>
        <c:axId val="9571161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 Promedio de Busqueda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95689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Número de Noticias por tema organizados de mayor a menor </a:t>
            </a:r>
          </a:p>
        </c:rich>
      </c:tx>
      <c:layout>
        <c:manualLayout>
          <c:xMode val="edge"/>
          <c:yMode val="edge"/>
          <c:x val="0.20412221432344441"/>
          <c:y val="2.780945538170131E-2"/>
        </c:manualLayout>
      </c:layout>
      <c:overlay val="1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invertIfNegative val="0"/>
          <c:cat>
            <c:strRef>
              <c:f>'Google News'!$D$65:$D$101</c:f>
              <c:strCache>
                <c:ptCount val="37"/>
                <c:pt idx="0">
                  <c:v>Corruption</c:v>
                </c:pt>
                <c:pt idx="1">
                  <c:v>New market players</c:v>
                </c:pt>
                <c:pt idx="2">
                  <c:v>Terrorism</c:v>
                </c:pt>
                <c:pt idx="3">
                  <c:v>Russia energy diplomacy</c:v>
                </c:pt>
                <c:pt idx="4">
                  <c:v>Business cycle</c:v>
                </c:pt>
                <c:pt idx="5">
                  <c:v>India growth</c:v>
                </c:pt>
                <c:pt idx="6">
                  <c:v>Energy Efficiency</c:v>
                </c:pt>
                <c:pt idx="7">
                  <c:v>Nuclear energy</c:v>
                </c:pt>
                <c:pt idx="8">
                  <c:v>Brazil growth</c:v>
                </c:pt>
                <c:pt idx="9">
                  <c:v>Renewable energy</c:v>
                </c:pt>
                <c:pt idx="10">
                  <c:v>Energy poverty</c:v>
                </c:pt>
                <c:pt idx="11">
                  <c:v>Global Recesion</c:v>
                </c:pt>
                <c:pt idx="12">
                  <c:v>Commodity prices &amp; volatility</c:v>
                </c:pt>
                <c:pt idx="13">
                  <c:v>Future mobility</c:v>
                </c:pt>
                <c:pt idx="14">
                  <c:v>Innovative market design &amp; policies</c:v>
                </c:pt>
                <c:pt idx="15">
                  <c:v>Trade barriers</c:v>
                </c:pt>
                <c:pt idx="16">
                  <c:v>Sustainable cities</c:v>
                </c:pt>
                <c:pt idx="17">
                  <c:v>Electricity storage</c:v>
                </c:pt>
                <c:pt idx="18">
                  <c:v>Energy prices &amp; volatility</c:v>
                </c:pt>
                <c:pt idx="19">
                  <c:v>Biofuels</c:v>
                </c:pt>
                <c:pt idx="20">
                  <c:v>Energy subsidies</c:v>
                </c:pt>
                <c:pt idx="21">
                  <c:v>Currency uncertainty</c:v>
                </c:pt>
                <c:pt idx="22">
                  <c:v>US trade and policy influencing global energy markets</c:v>
                </c:pt>
                <c:pt idx="23">
                  <c:v>Hydro power</c:v>
                </c:pt>
                <c:pt idx="24">
                  <c:v>Large scale accidents</c:v>
                </c:pt>
                <c:pt idx="25">
                  <c:v>Energy affordability </c:v>
                </c:pt>
                <c:pt idx="26">
                  <c:v>Hydrogen economy</c:v>
                </c:pt>
                <c:pt idx="27">
                  <c:v>Middle East / North Africa fragility</c:v>
                </c:pt>
                <c:pt idx="28">
                  <c:v>Carbon capture, utilisation &amp; storage (CCUS)</c:v>
                </c:pt>
                <c:pt idx="29">
                  <c:v>Capital market constraints</c:v>
                </c:pt>
                <c:pt idx="30">
                  <c:v>Smart grids</c:v>
                </c:pt>
                <c:pt idx="31">
                  <c:v>Regional interconnection</c:v>
                </c:pt>
                <c:pt idx="32">
                  <c:v>EU cohesion</c:v>
                </c:pt>
                <c:pt idx="33">
                  <c:v>Talent scarcity</c:v>
                </c:pt>
                <c:pt idx="34">
                  <c:v>Energy water food nexus</c:v>
                </c:pt>
                <c:pt idx="35">
                  <c:v>Unconventional fossil fuels</c:v>
                </c:pt>
                <c:pt idx="36">
                  <c:v>Global climate framework uncertainty</c:v>
                </c:pt>
              </c:strCache>
            </c:strRef>
          </c:cat>
          <c:val>
            <c:numRef>
              <c:f>'Google News'!$E$65:$E$101</c:f>
              <c:numCache>
                <c:formatCode>#,##0</c:formatCode>
                <c:ptCount val="37"/>
                <c:pt idx="0">
                  <c:v>53200000</c:v>
                </c:pt>
                <c:pt idx="1">
                  <c:v>1360000</c:v>
                </c:pt>
                <c:pt idx="2">
                  <c:v>157000</c:v>
                </c:pt>
                <c:pt idx="3">
                  <c:v>142000</c:v>
                </c:pt>
                <c:pt idx="4">
                  <c:v>140000</c:v>
                </c:pt>
                <c:pt idx="5">
                  <c:v>137000</c:v>
                </c:pt>
                <c:pt idx="6">
                  <c:v>77000</c:v>
                </c:pt>
                <c:pt idx="7">
                  <c:v>66300</c:v>
                </c:pt>
                <c:pt idx="8">
                  <c:v>61300</c:v>
                </c:pt>
                <c:pt idx="9">
                  <c:v>53300</c:v>
                </c:pt>
                <c:pt idx="10">
                  <c:v>48200</c:v>
                </c:pt>
                <c:pt idx="11">
                  <c:v>40400</c:v>
                </c:pt>
                <c:pt idx="12">
                  <c:v>33100</c:v>
                </c:pt>
                <c:pt idx="13">
                  <c:v>32400</c:v>
                </c:pt>
                <c:pt idx="14">
                  <c:v>19200</c:v>
                </c:pt>
                <c:pt idx="15">
                  <c:v>16300</c:v>
                </c:pt>
                <c:pt idx="16">
                  <c:v>15400</c:v>
                </c:pt>
                <c:pt idx="17">
                  <c:v>13900</c:v>
                </c:pt>
                <c:pt idx="18">
                  <c:v>11600</c:v>
                </c:pt>
                <c:pt idx="19">
                  <c:v>10300</c:v>
                </c:pt>
                <c:pt idx="20">
                  <c:v>9720</c:v>
                </c:pt>
                <c:pt idx="21">
                  <c:v>7380</c:v>
                </c:pt>
                <c:pt idx="22">
                  <c:v>5840</c:v>
                </c:pt>
                <c:pt idx="23">
                  <c:v>5720</c:v>
                </c:pt>
                <c:pt idx="24">
                  <c:v>5530</c:v>
                </c:pt>
                <c:pt idx="25">
                  <c:v>5330</c:v>
                </c:pt>
                <c:pt idx="26">
                  <c:v>4620</c:v>
                </c:pt>
                <c:pt idx="27">
                  <c:v>4580</c:v>
                </c:pt>
                <c:pt idx="28">
                  <c:v>3200</c:v>
                </c:pt>
                <c:pt idx="29">
                  <c:v>2860</c:v>
                </c:pt>
                <c:pt idx="30">
                  <c:v>2200</c:v>
                </c:pt>
                <c:pt idx="31">
                  <c:v>1170</c:v>
                </c:pt>
                <c:pt idx="32">
                  <c:v>852</c:v>
                </c:pt>
                <c:pt idx="33">
                  <c:v>693</c:v>
                </c:pt>
                <c:pt idx="34">
                  <c:v>492</c:v>
                </c:pt>
                <c:pt idx="35">
                  <c:v>412</c:v>
                </c:pt>
                <c:pt idx="36">
                  <c:v>368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862784"/>
        <c:axId val="97864320"/>
      </c:barChart>
      <c:catAx>
        <c:axId val="97862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7864320"/>
        <c:crosses val="autoZero"/>
        <c:auto val="1"/>
        <c:lblAlgn val="ctr"/>
        <c:lblOffset val="100"/>
        <c:noMultiLvlLbl val="0"/>
      </c:catAx>
      <c:valAx>
        <c:axId val="978643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 Numero de Noticias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crossAx val="978627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medio de noticias</a:t>
            </a:r>
            <a:r>
              <a:rPr lang="en-US" baseline="0"/>
              <a:t>  organizado de mayor a menor</a:t>
            </a:r>
            <a:endParaRPr lang="en-US"/>
          </a:p>
        </c:rich>
      </c:tx>
      <c:layout>
        <c:manualLayout>
          <c:xMode val="edge"/>
          <c:yMode val="edge"/>
          <c:x val="0.18356444271197317"/>
          <c:y val="1.6488980054338978E-2"/>
        </c:manualLayout>
      </c:layout>
      <c:overlay val="1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invertIfNegative val="0"/>
          <c:cat>
            <c:strRef>
              <c:f>'Google News'!$D$111:$D$137</c:f>
              <c:strCache>
                <c:ptCount val="27"/>
                <c:pt idx="0">
                  <c:v>India growth</c:v>
                </c:pt>
                <c:pt idx="1">
                  <c:v>Energy Efficiency</c:v>
                </c:pt>
                <c:pt idx="2">
                  <c:v>Nuclear energy</c:v>
                </c:pt>
                <c:pt idx="3">
                  <c:v>Brazil growth</c:v>
                </c:pt>
                <c:pt idx="4">
                  <c:v>Renewable energy</c:v>
                </c:pt>
                <c:pt idx="5">
                  <c:v>Energy poverty</c:v>
                </c:pt>
                <c:pt idx="6">
                  <c:v>Global Recesion</c:v>
                </c:pt>
                <c:pt idx="7">
                  <c:v>Commodity prices &amp; volatility</c:v>
                </c:pt>
                <c:pt idx="8">
                  <c:v>Future mobility</c:v>
                </c:pt>
                <c:pt idx="9">
                  <c:v>Innovative market design &amp; policies</c:v>
                </c:pt>
                <c:pt idx="10">
                  <c:v>Trade barriers</c:v>
                </c:pt>
                <c:pt idx="11">
                  <c:v>Sustainable cities</c:v>
                </c:pt>
                <c:pt idx="12">
                  <c:v>Electricity storage</c:v>
                </c:pt>
                <c:pt idx="13">
                  <c:v>Energy prices &amp; volatility</c:v>
                </c:pt>
                <c:pt idx="14">
                  <c:v>Biofuels</c:v>
                </c:pt>
                <c:pt idx="15">
                  <c:v>Energy subsidies</c:v>
                </c:pt>
                <c:pt idx="16">
                  <c:v>Currency uncertainty</c:v>
                </c:pt>
                <c:pt idx="17">
                  <c:v>US trade and policy influencing global energy markets</c:v>
                </c:pt>
                <c:pt idx="18">
                  <c:v>Hydro power</c:v>
                </c:pt>
                <c:pt idx="19">
                  <c:v>Large scale accidents</c:v>
                </c:pt>
                <c:pt idx="20">
                  <c:v>Energy affordability </c:v>
                </c:pt>
                <c:pt idx="21">
                  <c:v>Hydrogen economy</c:v>
                </c:pt>
                <c:pt idx="22">
                  <c:v>Middle East / North Africa fragility</c:v>
                </c:pt>
                <c:pt idx="23">
                  <c:v>Carbon capture, utilisation &amp; storage (CCUS)</c:v>
                </c:pt>
                <c:pt idx="24">
                  <c:v>Capital market constraints</c:v>
                </c:pt>
                <c:pt idx="25">
                  <c:v>Smart grids</c:v>
                </c:pt>
                <c:pt idx="26">
                  <c:v>Regional interconnection</c:v>
                </c:pt>
              </c:strCache>
            </c:strRef>
          </c:cat>
          <c:val>
            <c:numRef>
              <c:f>'Google News'!$E$111:$E$137</c:f>
              <c:numCache>
                <c:formatCode>#,##0</c:formatCode>
                <c:ptCount val="27"/>
                <c:pt idx="0">
                  <c:v>137000</c:v>
                </c:pt>
                <c:pt idx="1">
                  <c:v>77000</c:v>
                </c:pt>
                <c:pt idx="2">
                  <c:v>66300</c:v>
                </c:pt>
                <c:pt idx="3">
                  <c:v>61300</c:v>
                </c:pt>
                <c:pt idx="4">
                  <c:v>53300</c:v>
                </c:pt>
                <c:pt idx="5">
                  <c:v>48200</c:v>
                </c:pt>
                <c:pt idx="6">
                  <c:v>40400</c:v>
                </c:pt>
                <c:pt idx="7">
                  <c:v>33100</c:v>
                </c:pt>
                <c:pt idx="8">
                  <c:v>32400</c:v>
                </c:pt>
                <c:pt idx="9">
                  <c:v>19200</c:v>
                </c:pt>
                <c:pt idx="10">
                  <c:v>16300</c:v>
                </c:pt>
                <c:pt idx="11">
                  <c:v>15400</c:v>
                </c:pt>
                <c:pt idx="12">
                  <c:v>13900</c:v>
                </c:pt>
                <c:pt idx="13">
                  <c:v>11600</c:v>
                </c:pt>
                <c:pt idx="14">
                  <c:v>10300</c:v>
                </c:pt>
                <c:pt idx="15">
                  <c:v>9720</c:v>
                </c:pt>
                <c:pt idx="16">
                  <c:v>7380</c:v>
                </c:pt>
                <c:pt idx="17">
                  <c:v>5840</c:v>
                </c:pt>
                <c:pt idx="18">
                  <c:v>5720</c:v>
                </c:pt>
                <c:pt idx="19">
                  <c:v>5530</c:v>
                </c:pt>
                <c:pt idx="20">
                  <c:v>5330</c:v>
                </c:pt>
                <c:pt idx="21">
                  <c:v>4620</c:v>
                </c:pt>
                <c:pt idx="22">
                  <c:v>4580</c:v>
                </c:pt>
                <c:pt idx="23">
                  <c:v>3200</c:v>
                </c:pt>
                <c:pt idx="24">
                  <c:v>2860</c:v>
                </c:pt>
                <c:pt idx="25">
                  <c:v>2200</c:v>
                </c:pt>
                <c:pt idx="26">
                  <c:v>1170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893376"/>
        <c:axId val="97895168"/>
      </c:barChart>
      <c:catAx>
        <c:axId val="97893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7895168"/>
        <c:crosses val="autoZero"/>
        <c:auto val="1"/>
        <c:lblAlgn val="ctr"/>
        <c:lblOffset val="100"/>
        <c:noMultiLvlLbl val="0"/>
      </c:catAx>
      <c:valAx>
        <c:axId val="9789516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 Numero de Noticias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crossAx val="978933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Numero Medio de Patentes 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invertIfNegative val="0"/>
          <c:cat>
            <c:strRef>
              <c:f>'Free Patents'!$E$108:$E$133</c:f>
              <c:strCache>
                <c:ptCount val="26"/>
                <c:pt idx="0">
                  <c:v>Nuclear energy</c:v>
                </c:pt>
                <c:pt idx="1">
                  <c:v>Energy affordability </c:v>
                </c:pt>
                <c:pt idx="2">
                  <c:v>Corruption</c:v>
                </c:pt>
                <c:pt idx="3">
                  <c:v>Carbon capture, utilisation &amp; storage (CCUS)</c:v>
                </c:pt>
                <c:pt idx="4">
                  <c:v>Renewable energy</c:v>
                </c:pt>
                <c:pt idx="5">
                  <c:v>Smart grids</c:v>
                </c:pt>
                <c:pt idx="6">
                  <c:v>New market players</c:v>
                </c:pt>
                <c:pt idx="7">
                  <c:v>Trade barriers</c:v>
                </c:pt>
                <c:pt idx="8">
                  <c:v>Sustainable cities</c:v>
                </c:pt>
                <c:pt idx="9">
                  <c:v>Energy prices &amp; volatility</c:v>
                </c:pt>
                <c:pt idx="10">
                  <c:v>Large scale accidents</c:v>
                </c:pt>
                <c:pt idx="11">
                  <c:v>Biofuels</c:v>
                </c:pt>
                <c:pt idx="12">
                  <c:v>India growth</c:v>
                </c:pt>
                <c:pt idx="13">
                  <c:v>Hydro power</c:v>
                </c:pt>
                <c:pt idx="14">
                  <c:v>Hydrogen economy</c:v>
                </c:pt>
                <c:pt idx="15">
                  <c:v>Commodity prices &amp; volatility</c:v>
                </c:pt>
                <c:pt idx="16">
                  <c:v>Capital market constraints</c:v>
                </c:pt>
                <c:pt idx="17">
                  <c:v>Terrorism</c:v>
                </c:pt>
                <c:pt idx="18">
                  <c:v>Brazil growth</c:v>
                </c:pt>
                <c:pt idx="19">
                  <c:v>Innovative market design &amp; policies</c:v>
                </c:pt>
                <c:pt idx="20">
                  <c:v>Currency uncertainty</c:v>
                </c:pt>
                <c:pt idx="21">
                  <c:v>US trade and policy influencing global energy markets</c:v>
                </c:pt>
                <c:pt idx="22">
                  <c:v>Energy subsidies</c:v>
                </c:pt>
                <c:pt idx="23">
                  <c:v>EU cohesion</c:v>
                </c:pt>
                <c:pt idx="24">
                  <c:v>Unconventional fossil fuels</c:v>
                </c:pt>
                <c:pt idx="25">
                  <c:v>Energy poverty</c:v>
                </c:pt>
              </c:strCache>
            </c:strRef>
          </c:cat>
          <c:val>
            <c:numRef>
              <c:f>'Free Patents'!$F$108:$F$133</c:f>
              <c:numCache>
                <c:formatCode>General</c:formatCode>
                <c:ptCount val="26"/>
                <c:pt idx="0">
                  <c:v>13928</c:v>
                </c:pt>
                <c:pt idx="1">
                  <c:v>11122</c:v>
                </c:pt>
                <c:pt idx="2">
                  <c:v>10732</c:v>
                </c:pt>
                <c:pt idx="3">
                  <c:v>9216</c:v>
                </c:pt>
                <c:pt idx="4">
                  <c:v>8855</c:v>
                </c:pt>
                <c:pt idx="5">
                  <c:v>7902</c:v>
                </c:pt>
                <c:pt idx="6">
                  <c:v>7673</c:v>
                </c:pt>
                <c:pt idx="7">
                  <c:v>5692</c:v>
                </c:pt>
                <c:pt idx="8">
                  <c:v>5360</c:v>
                </c:pt>
                <c:pt idx="9">
                  <c:v>3193</c:v>
                </c:pt>
                <c:pt idx="10">
                  <c:v>2604</c:v>
                </c:pt>
                <c:pt idx="11">
                  <c:v>2460</c:v>
                </c:pt>
                <c:pt idx="12">
                  <c:v>2390.5</c:v>
                </c:pt>
                <c:pt idx="13">
                  <c:v>2350</c:v>
                </c:pt>
                <c:pt idx="14">
                  <c:v>2092</c:v>
                </c:pt>
                <c:pt idx="15">
                  <c:v>1309</c:v>
                </c:pt>
                <c:pt idx="16">
                  <c:v>1270</c:v>
                </c:pt>
                <c:pt idx="17">
                  <c:v>1006</c:v>
                </c:pt>
                <c:pt idx="18">
                  <c:v>813</c:v>
                </c:pt>
                <c:pt idx="19">
                  <c:v>465</c:v>
                </c:pt>
                <c:pt idx="20">
                  <c:v>330</c:v>
                </c:pt>
                <c:pt idx="21">
                  <c:v>230</c:v>
                </c:pt>
                <c:pt idx="22">
                  <c:v>203</c:v>
                </c:pt>
                <c:pt idx="23">
                  <c:v>178</c:v>
                </c:pt>
                <c:pt idx="24">
                  <c:v>120</c:v>
                </c:pt>
                <c:pt idx="25">
                  <c:v>102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3077760"/>
        <c:axId val="123079296"/>
      </c:barChart>
      <c:catAx>
        <c:axId val="123077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3079296"/>
        <c:crosses val="autoZero"/>
        <c:auto val="1"/>
        <c:lblAlgn val="ctr"/>
        <c:lblOffset val="100"/>
        <c:noMultiLvlLbl val="0"/>
      </c:catAx>
      <c:valAx>
        <c:axId val="1230792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 # de Patentes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3077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Numero  de Patentes 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invertIfNegative val="0"/>
          <c:cat>
            <c:strRef>
              <c:f>'Free Patents'!$E$60:$E$96</c:f>
              <c:strCache>
                <c:ptCount val="37"/>
                <c:pt idx="0">
                  <c:v>Electricity storage</c:v>
                </c:pt>
                <c:pt idx="1">
                  <c:v>Energy Efficiency</c:v>
                </c:pt>
                <c:pt idx="2">
                  <c:v>Regional interconnection</c:v>
                </c:pt>
                <c:pt idx="3">
                  <c:v>Future mobility</c:v>
                </c:pt>
                <c:pt idx="4">
                  <c:v>Business cycle</c:v>
                </c:pt>
                <c:pt idx="5">
                  <c:v>Nuclear energy</c:v>
                </c:pt>
                <c:pt idx="6">
                  <c:v>Energy affordability </c:v>
                </c:pt>
                <c:pt idx="7">
                  <c:v>Corruption</c:v>
                </c:pt>
                <c:pt idx="8">
                  <c:v>Carbon capture, utilisation &amp; storage (CCUS)</c:v>
                </c:pt>
                <c:pt idx="9">
                  <c:v>Renewable energy</c:v>
                </c:pt>
                <c:pt idx="10">
                  <c:v>Smart grids</c:v>
                </c:pt>
                <c:pt idx="11">
                  <c:v>New market players</c:v>
                </c:pt>
                <c:pt idx="12">
                  <c:v>Trade barriers</c:v>
                </c:pt>
                <c:pt idx="13">
                  <c:v>Sustainable cities</c:v>
                </c:pt>
                <c:pt idx="14">
                  <c:v>Energy prices &amp; volatility</c:v>
                </c:pt>
                <c:pt idx="15">
                  <c:v>Large scale accidents</c:v>
                </c:pt>
                <c:pt idx="16">
                  <c:v>Biofuels</c:v>
                </c:pt>
                <c:pt idx="17">
                  <c:v>India growth</c:v>
                </c:pt>
                <c:pt idx="18">
                  <c:v>Hydro power</c:v>
                </c:pt>
                <c:pt idx="19">
                  <c:v>Hydrogen economy</c:v>
                </c:pt>
                <c:pt idx="20">
                  <c:v>Commodity prices &amp; volatility</c:v>
                </c:pt>
                <c:pt idx="21">
                  <c:v>Capital market constraints</c:v>
                </c:pt>
                <c:pt idx="22">
                  <c:v>Terrorism</c:v>
                </c:pt>
                <c:pt idx="23">
                  <c:v>Brazil growth</c:v>
                </c:pt>
                <c:pt idx="24">
                  <c:v>Innovative market design &amp; policies</c:v>
                </c:pt>
                <c:pt idx="25">
                  <c:v>Currency uncertainty</c:v>
                </c:pt>
                <c:pt idx="26">
                  <c:v>US trade and policy influencing global energy markets</c:v>
                </c:pt>
                <c:pt idx="27">
                  <c:v>Energy subsidies</c:v>
                </c:pt>
                <c:pt idx="28">
                  <c:v>EU cohesion</c:v>
                </c:pt>
                <c:pt idx="29">
                  <c:v>Unconventional fossil fuels</c:v>
                </c:pt>
                <c:pt idx="30">
                  <c:v>Energy poverty</c:v>
                </c:pt>
                <c:pt idx="31">
                  <c:v>Global climate framework uncertainty</c:v>
                </c:pt>
                <c:pt idx="32">
                  <c:v>Energy water food nexus</c:v>
                </c:pt>
                <c:pt idx="33">
                  <c:v>Global Recesion</c:v>
                </c:pt>
                <c:pt idx="34">
                  <c:v>Middle East / North Africa fragility</c:v>
                </c:pt>
                <c:pt idx="35">
                  <c:v>Talent scarcity</c:v>
                </c:pt>
                <c:pt idx="36">
                  <c:v>Russia energy diplomacy</c:v>
                </c:pt>
              </c:strCache>
            </c:strRef>
          </c:cat>
          <c:val>
            <c:numRef>
              <c:f>'Free Patents'!$F$60:$F$96</c:f>
              <c:numCache>
                <c:formatCode>General</c:formatCode>
                <c:ptCount val="37"/>
                <c:pt idx="0">
                  <c:v>140327</c:v>
                </c:pt>
                <c:pt idx="1">
                  <c:v>99894</c:v>
                </c:pt>
                <c:pt idx="2">
                  <c:v>45760</c:v>
                </c:pt>
                <c:pt idx="3">
                  <c:v>37140</c:v>
                </c:pt>
                <c:pt idx="4">
                  <c:v>16493</c:v>
                </c:pt>
                <c:pt idx="5">
                  <c:v>13928</c:v>
                </c:pt>
                <c:pt idx="6">
                  <c:v>11122</c:v>
                </c:pt>
                <c:pt idx="7">
                  <c:v>10732</c:v>
                </c:pt>
                <c:pt idx="8">
                  <c:v>9216</c:v>
                </c:pt>
                <c:pt idx="9">
                  <c:v>8855</c:v>
                </c:pt>
                <c:pt idx="10">
                  <c:v>7902</c:v>
                </c:pt>
                <c:pt idx="11">
                  <c:v>7673</c:v>
                </c:pt>
                <c:pt idx="12">
                  <c:v>5692</c:v>
                </c:pt>
                <c:pt idx="13">
                  <c:v>5360</c:v>
                </c:pt>
                <c:pt idx="14">
                  <c:v>3193</c:v>
                </c:pt>
                <c:pt idx="15">
                  <c:v>2604</c:v>
                </c:pt>
                <c:pt idx="16">
                  <c:v>2460</c:v>
                </c:pt>
                <c:pt idx="17">
                  <c:v>2390.5</c:v>
                </c:pt>
                <c:pt idx="18">
                  <c:v>2350</c:v>
                </c:pt>
                <c:pt idx="19">
                  <c:v>2092</c:v>
                </c:pt>
                <c:pt idx="20">
                  <c:v>1309</c:v>
                </c:pt>
                <c:pt idx="21">
                  <c:v>1270</c:v>
                </c:pt>
                <c:pt idx="22">
                  <c:v>1006</c:v>
                </c:pt>
                <c:pt idx="23">
                  <c:v>813</c:v>
                </c:pt>
                <c:pt idx="24">
                  <c:v>465</c:v>
                </c:pt>
                <c:pt idx="25">
                  <c:v>330</c:v>
                </c:pt>
                <c:pt idx="26">
                  <c:v>230</c:v>
                </c:pt>
                <c:pt idx="27">
                  <c:v>203</c:v>
                </c:pt>
                <c:pt idx="28">
                  <c:v>178</c:v>
                </c:pt>
                <c:pt idx="29">
                  <c:v>120</c:v>
                </c:pt>
                <c:pt idx="30">
                  <c:v>102</c:v>
                </c:pt>
                <c:pt idx="31">
                  <c:v>76</c:v>
                </c:pt>
                <c:pt idx="32">
                  <c:v>43</c:v>
                </c:pt>
                <c:pt idx="33">
                  <c:v>10</c:v>
                </c:pt>
                <c:pt idx="34">
                  <c:v>8</c:v>
                </c:pt>
                <c:pt idx="35">
                  <c:v>6</c:v>
                </c:pt>
                <c:pt idx="36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3100160"/>
        <c:axId val="123126528"/>
      </c:barChart>
      <c:catAx>
        <c:axId val="123100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3126528"/>
        <c:crosses val="autoZero"/>
        <c:auto val="1"/>
        <c:lblAlgn val="ctr"/>
        <c:lblOffset val="100"/>
        <c:noMultiLvlLbl val="0"/>
      </c:catAx>
      <c:valAx>
        <c:axId val="12312652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 # de Patentes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31001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Numero de Publicaciones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718718958413025E-2"/>
          <c:y val="3.2478018393336874E-2"/>
          <c:w val="0.86981820051212166"/>
          <c:h val="0.9516957330177358"/>
        </c:manualLayout>
      </c:layout>
      <c:barChart>
        <c:barDir val="col"/>
        <c:grouping val="clustered"/>
        <c:varyColors val="0"/>
        <c:ser>
          <c:idx val="1"/>
          <c:order val="0"/>
          <c:invertIfNegative val="0"/>
          <c:cat>
            <c:strRef>
              <c:f>Scopus!$C$67:$C$103</c:f>
              <c:strCache>
                <c:ptCount val="37"/>
                <c:pt idx="0">
                  <c:v>Renewable energy</c:v>
                </c:pt>
                <c:pt idx="1">
                  <c:v>Nuclear energy</c:v>
                </c:pt>
                <c:pt idx="2">
                  <c:v>Biofuels</c:v>
                </c:pt>
                <c:pt idx="3">
                  <c:v>Business cycle</c:v>
                </c:pt>
                <c:pt idx="4">
                  <c:v>Smart grids</c:v>
                </c:pt>
                <c:pt idx="5">
                  <c:v>India growth</c:v>
                </c:pt>
                <c:pt idx="6">
                  <c:v>Sustainable cities</c:v>
                </c:pt>
                <c:pt idx="7">
                  <c:v>Corruption</c:v>
                </c:pt>
                <c:pt idx="8">
                  <c:v>Future mobility</c:v>
                </c:pt>
                <c:pt idx="9">
                  <c:v>Electricity storage</c:v>
                </c:pt>
                <c:pt idx="10">
                  <c:v>Brazil growth</c:v>
                </c:pt>
                <c:pt idx="11">
                  <c:v>Hydro power</c:v>
                </c:pt>
                <c:pt idx="12">
                  <c:v>Large scale accidents</c:v>
                </c:pt>
                <c:pt idx="13">
                  <c:v>Trade barriers</c:v>
                </c:pt>
                <c:pt idx="14">
                  <c:v>Terrorism</c:v>
                </c:pt>
                <c:pt idx="15">
                  <c:v>Energy subsidies</c:v>
                </c:pt>
                <c:pt idx="16">
                  <c:v>Energy Efficiency</c:v>
                </c:pt>
                <c:pt idx="17">
                  <c:v>Global Recesion</c:v>
                </c:pt>
                <c:pt idx="18">
                  <c:v>Energy poverty</c:v>
                </c:pt>
                <c:pt idx="19">
                  <c:v>Hydrogen economy</c:v>
                </c:pt>
                <c:pt idx="20">
                  <c:v>New market players</c:v>
                </c:pt>
                <c:pt idx="21">
                  <c:v>Capital market constraints</c:v>
                </c:pt>
                <c:pt idx="22">
                  <c:v>Energy prices &amp; volatility</c:v>
                </c:pt>
                <c:pt idx="23">
                  <c:v>Global climate framework uncertainty</c:v>
                </c:pt>
                <c:pt idx="24">
                  <c:v>Commodity prices &amp; volatility</c:v>
                </c:pt>
                <c:pt idx="25">
                  <c:v>EU cohesion</c:v>
                </c:pt>
                <c:pt idx="26">
                  <c:v>Regional interconnection</c:v>
                </c:pt>
                <c:pt idx="27">
                  <c:v>Energy affordability </c:v>
                </c:pt>
                <c:pt idx="28">
                  <c:v>Currency uncertainty</c:v>
                </c:pt>
                <c:pt idx="29">
                  <c:v>Innovative market design &amp; policies</c:v>
                </c:pt>
                <c:pt idx="30">
                  <c:v>Unconventional fossil fuels</c:v>
                </c:pt>
                <c:pt idx="31">
                  <c:v>Energy water food nexus</c:v>
                </c:pt>
                <c:pt idx="32">
                  <c:v>Carbon capture, utilisation &amp; storage (CCUS)</c:v>
                </c:pt>
                <c:pt idx="33">
                  <c:v>Talent scarcity</c:v>
                </c:pt>
                <c:pt idx="34">
                  <c:v>Middle East / North Africa fragility</c:v>
                </c:pt>
                <c:pt idx="35">
                  <c:v>Russia energy diplomacy</c:v>
                </c:pt>
                <c:pt idx="36">
                  <c:v>US trade and policy influencing global energy markets</c:v>
                </c:pt>
              </c:strCache>
            </c:strRef>
          </c:cat>
          <c:val>
            <c:numRef>
              <c:f>Scopus!$D$67:$D$103</c:f>
              <c:numCache>
                <c:formatCode>0</c:formatCode>
                <c:ptCount val="37"/>
                <c:pt idx="0">
                  <c:v>7911</c:v>
                </c:pt>
                <c:pt idx="1">
                  <c:v>6719</c:v>
                </c:pt>
                <c:pt idx="2">
                  <c:v>4870</c:v>
                </c:pt>
                <c:pt idx="3">
                  <c:v>3738</c:v>
                </c:pt>
                <c:pt idx="4">
                  <c:v>3720</c:v>
                </c:pt>
                <c:pt idx="5">
                  <c:v>1852</c:v>
                </c:pt>
                <c:pt idx="6">
                  <c:v>1420</c:v>
                </c:pt>
                <c:pt idx="7">
                  <c:v>1372</c:v>
                </c:pt>
                <c:pt idx="8">
                  <c:v>1209</c:v>
                </c:pt>
                <c:pt idx="9">
                  <c:v>1021</c:v>
                </c:pt>
                <c:pt idx="10">
                  <c:v>1015</c:v>
                </c:pt>
                <c:pt idx="11">
                  <c:v>856</c:v>
                </c:pt>
                <c:pt idx="12">
                  <c:v>433</c:v>
                </c:pt>
                <c:pt idx="13">
                  <c:v>338</c:v>
                </c:pt>
                <c:pt idx="14">
                  <c:v>338</c:v>
                </c:pt>
                <c:pt idx="15">
                  <c:v>326</c:v>
                </c:pt>
                <c:pt idx="16">
                  <c:v>268</c:v>
                </c:pt>
                <c:pt idx="17">
                  <c:v>268</c:v>
                </c:pt>
                <c:pt idx="18">
                  <c:v>222</c:v>
                </c:pt>
                <c:pt idx="19">
                  <c:v>196</c:v>
                </c:pt>
                <c:pt idx="20">
                  <c:v>167</c:v>
                </c:pt>
                <c:pt idx="21">
                  <c:v>125</c:v>
                </c:pt>
                <c:pt idx="22">
                  <c:v>102</c:v>
                </c:pt>
                <c:pt idx="23">
                  <c:v>85</c:v>
                </c:pt>
                <c:pt idx="24">
                  <c:v>81</c:v>
                </c:pt>
                <c:pt idx="25">
                  <c:v>71</c:v>
                </c:pt>
                <c:pt idx="26">
                  <c:v>67</c:v>
                </c:pt>
                <c:pt idx="27">
                  <c:v>43</c:v>
                </c:pt>
                <c:pt idx="28">
                  <c:v>37</c:v>
                </c:pt>
                <c:pt idx="29">
                  <c:v>28</c:v>
                </c:pt>
                <c:pt idx="30">
                  <c:v>18</c:v>
                </c:pt>
                <c:pt idx="31">
                  <c:v>14</c:v>
                </c:pt>
                <c:pt idx="32">
                  <c:v>13</c:v>
                </c:pt>
                <c:pt idx="33">
                  <c:v>1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3241984"/>
        <c:axId val="123243520"/>
      </c:barChart>
      <c:catAx>
        <c:axId val="123241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3243520"/>
        <c:crosses val="autoZero"/>
        <c:auto val="1"/>
        <c:lblAlgn val="ctr"/>
        <c:lblOffset val="100"/>
        <c:noMultiLvlLbl val="0"/>
      </c:catAx>
      <c:valAx>
        <c:axId val="123243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 # de Publicaciones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crossAx val="123241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Numero</a:t>
            </a:r>
            <a:r>
              <a:rPr lang="es-CO" baseline="0"/>
              <a:t> de Publicaciones</a:t>
            </a:r>
            <a:endParaRPr lang="es-CO"/>
          </a:p>
        </c:rich>
      </c:tx>
      <c:overlay val="1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invertIfNegative val="0"/>
          <c:cat>
            <c:strRef>
              <c:f>Scopus!$C$115:$C$141</c:f>
              <c:strCache>
                <c:ptCount val="27"/>
                <c:pt idx="0">
                  <c:v>India growth</c:v>
                </c:pt>
                <c:pt idx="1">
                  <c:v>Sustainable cities</c:v>
                </c:pt>
                <c:pt idx="2">
                  <c:v>Corruption</c:v>
                </c:pt>
                <c:pt idx="3">
                  <c:v>Future mobility</c:v>
                </c:pt>
                <c:pt idx="4">
                  <c:v>Electricity storage</c:v>
                </c:pt>
                <c:pt idx="5">
                  <c:v>Brazil growth</c:v>
                </c:pt>
                <c:pt idx="6">
                  <c:v>Hydro power</c:v>
                </c:pt>
                <c:pt idx="7">
                  <c:v>Large scale accidents</c:v>
                </c:pt>
                <c:pt idx="8">
                  <c:v>Trade barriers</c:v>
                </c:pt>
                <c:pt idx="9">
                  <c:v>Terrorism</c:v>
                </c:pt>
                <c:pt idx="10">
                  <c:v>Energy subsidies</c:v>
                </c:pt>
                <c:pt idx="11">
                  <c:v>Energy Efficiency</c:v>
                </c:pt>
                <c:pt idx="12">
                  <c:v>Global Recesion</c:v>
                </c:pt>
                <c:pt idx="13">
                  <c:v>Energy poverty</c:v>
                </c:pt>
                <c:pt idx="14">
                  <c:v>Hydrogen economy</c:v>
                </c:pt>
                <c:pt idx="15">
                  <c:v>New market players</c:v>
                </c:pt>
                <c:pt idx="16">
                  <c:v>Capital market constraints</c:v>
                </c:pt>
                <c:pt idx="17">
                  <c:v>Energy prices &amp; volatility</c:v>
                </c:pt>
                <c:pt idx="18">
                  <c:v>Global climate framework uncertainty</c:v>
                </c:pt>
                <c:pt idx="19">
                  <c:v>Commodity prices &amp; volatility</c:v>
                </c:pt>
                <c:pt idx="20">
                  <c:v>EU cohesion</c:v>
                </c:pt>
                <c:pt idx="21">
                  <c:v>Regional interconnection</c:v>
                </c:pt>
                <c:pt idx="22">
                  <c:v>Energy affordability </c:v>
                </c:pt>
                <c:pt idx="23">
                  <c:v>Currency uncertainty</c:v>
                </c:pt>
                <c:pt idx="24">
                  <c:v>Innovative market design &amp; policies</c:v>
                </c:pt>
                <c:pt idx="25">
                  <c:v>Unconventional fossil fuels</c:v>
                </c:pt>
                <c:pt idx="26">
                  <c:v>Energy water food nexus</c:v>
                </c:pt>
              </c:strCache>
            </c:strRef>
          </c:cat>
          <c:val>
            <c:numRef>
              <c:f>Scopus!$D$115:$D$141</c:f>
              <c:numCache>
                <c:formatCode>0</c:formatCode>
                <c:ptCount val="27"/>
                <c:pt idx="0">
                  <c:v>1852</c:v>
                </c:pt>
                <c:pt idx="1">
                  <c:v>1420</c:v>
                </c:pt>
                <c:pt idx="2">
                  <c:v>1372</c:v>
                </c:pt>
                <c:pt idx="3">
                  <c:v>1209</c:v>
                </c:pt>
                <c:pt idx="4">
                  <c:v>1021</c:v>
                </c:pt>
                <c:pt idx="5">
                  <c:v>1015</c:v>
                </c:pt>
                <c:pt idx="6">
                  <c:v>856</c:v>
                </c:pt>
                <c:pt idx="7">
                  <c:v>433</c:v>
                </c:pt>
                <c:pt idx="8">
                  <c:v>338</c:v>
                </c:pt>
                <c:pt idx="9">
                  <c:v>338</c:v>
                </c:pt>
                <c:pt idx="10">
                  <c:v>326</c:v>
                </c:pt>
                <c:pt idx="11">
                  <c:v>268</c:v>
                </c:pt>
                <c:pt idx="12">
                  <c:v>268</c:v>
                </c:pt>
                <c:pt idx="13">
                  <c:v>222</c:v>
                </c:pt>
                <c:pt idx="14">
                  <c:v>196</c:v>
                </c:pt>
                <c:pt idx="15">
                  <c:v>167</c:v>
                </c:pt>
                <c:pt idx="16">
                  <c:v>125</c:v>
                </c:pt>
                <c:pt idx="17">
                  <c:v>102</c:v>
                </c:pt>
                <c:pt idx="18">
                  <c:v>85</c:v>
                </c:pt>
                <c:pt idx="19">
                  <c:v>81</c:v>
                </c:pt>
                <c:pt idx="20">
                  <c:v>71</c:v>
                </c:pt>
                <c:pt idx="21">
                  <c:v>67</c:v>
                </c:pt>
                <c:pt idx="22">
                  <c:v>43</c:v>
                </c:pt>
                <c:pt idx="23">
                  <c:v>37</c:v>
                </c:pt>
                <c:pt idx="24">
                  <c:v>28</c:v>
                </c:pt>
                <c:pt idx="25">
                  <c:v>18</c:v>
                </c:pt>
                <c:pt idx="26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3268480"/>
        <c:axId val="123278464"/>
      </c:barChart>
      <c:catAx>
        <c:axId val="123268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3278464"/>
        <c:crosses val="autoZero"/>
        <c:auto val="1"/>
        <c:lblAlgn val="ctr"/>
        <c:lblOffset val="100"/>
        <c:noMultiLvlLbl val="0"/>
      </c:catAx>
      <c:valAx>
        <c:axId val="1232784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 # de Publicaciones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crossAx val="1232684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chart" Target="../charts/chart3.xml"/><Relationship Id="rId7" Type="http://schemas.openxmlformats.org/officeDocument/2006/relationships/image" Target="../media/image3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5" Type="http://schemas.openxmlformats.org/officeDocument/2006/relationships/image" Target="../media/image5.png"/><Relationship Id="rId4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image" Target="../media/image8.png"/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5</xdr:row>
          <xdr:rowOff>142875</xdr:rowOff>
        </xdr:from>
        <xdr:to>
          <xdr:col>4</xdr:col>
          <xdr:colOff>76200</xdr:colOff>
          <xdr:row>7</xdr:row>
          <xdr:rowOff>104775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Free Patents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7</xdr:row>
          <xdr:rowOff>171450</xdr:rowOff>
        </xdr:from>
        <xdr:to>
          <xdr:col>4</xdr:col>
          <xdr:colOff>76200</xdr:colOff>
          <xdr:row>9</xdr:row>
          <xdr:rowOff>133350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Google News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10</xdr:row>
          <xdr:rowOff>28575</xdr:rowOff>
        </xdr:from>
        <xdr:to>
          <xdr:col>4</xdr:col>
          <xdr:colOff>85725</xdr:colOff>
          <xdr:row>11</xdr:row>
          <xdr:rowOff>180975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Google Trends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12</xdr:row>
          <xdr:rowOff>95250</xdr:rowOff>
        </xdr:from>
        <xdr:to>
          <xdr:col>4</xdr:col>
          <xdr:colOff>76200</xdr:colOff>
          <xdr:row>14</xdr:row>
          <xdr:rowOff>57150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Scopus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28575</xdr:rowOff>
        </xdr:from>
        <xdr:to>
          <xdr:col>6</xdr:col>
          <xdr:colOff>285750</xdr:colOff>
          <xdr:row>16</xdr:row>
          <xdr:rowOff>142875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Odernar Datos para Graficar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17</xdr:row>
          <xdr:rowOff>85725</xdr:rowOff>
        </xdr:from>
        <xdr:to>
          <xdr:col>4</xdr:col>
          <xdr:colOff>47625</xdr:colOff>
          <xdr:row>19</xdr:row>
          <xdr:rowOff>47625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Promedio de datos estudio del WEC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228600</xdr:colOff>
      <xdr:row>16</xdr:row>
      <xdr:rowOff>76200</xdr:rowOff>
    </xdr:from>
    <xdr:to>
      <xdr:col>11</xdr:col>
      <xdr:colOff>423134</xdr:colOff>
      <xdr:row>22</xdr:row>
      <xdr:rowOff>76200</xdr:rowOff>
    </xdr:to>
    <xdr:pic>
      <xdr:nvPicPr>
        <xdr:cNvPr id="11" name="irc_mi" descr="http://identificacion.upb.edu.co/imagenes/beneficios/Logo_UPB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3228975"/>
          <a:ext cx="1718534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438149</xdr:colOff>
      <xdr:row>16</xdr:row>
      <xdr:rowOff>97155</xdr:rowOff>
    </xdr:from>
    <xdr:to>
      <xdr:col>14</xdr:col>
      <xdr:colOff>600074</xdr:colOff>
      <xdr:row>22</xdr:row>
      <xdr:rowOff>85725</xdr:rowOff>
    </xdr:to>
    <xdr:pic>
      <xdr:nvPicPr>
        <xdr:cNvPr id="12" name="irc_mi" descr="http://www.worldenergy.org/wp-content/uploads/nmc_export_images/9a77215c-dffc-e111-9b52-00155d6f0a00.jp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49" y="3249930"/>
          <a:ext cx="1685925" cy="1017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5</xdr:row>
          <xdr:rowOff>171450</xdr:rowOff>
        </xdr:from>
        <xdr:to>
          <xdr:col>11</xdr:col>
          <xdr:colOff>514350</xdr:colOff>
          <xdr:row>8</xdr:row>
          <xdr:rowOff>9525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</a:rPr>
                <a:t>Estudio del WEC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5</xdr:row>
          <xdr:rowOff>161925</xdr:rowOff>
        </xdr:from>
        <xdr:to>
          <xdr:col>14</xdr:col>
          <xdr:colOff>581025</xdr:colOff>
          <xdr:row>8</xdr:row>
          <xdr:rowOff>0</xdr:rowOff>
        </xdr:to>
        <xdr:sp macro="" textlink="">
          <xdr:nvSpPr>
            <xdr:cNvPr id="8201" name="Button 9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</a:rPr>
                <a:t>Indicadores de Referencia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733425</xdr:colOff>
          <xdr:row>12</xdr:row>
          <xdr:rowOff>19050</xdr:rowOff>
        </xdr:from>
        <xdr:to>
          <xdr:col>11</xdr:col>
          <xdr:colOff>666750</xdr:colOff>
          <xdr:row>13</xdr:row>
          <xdr:rowOff>28575</xdr:rowOff>
        </xdr:to>
        <xdr:sp macro="" textlink="">
          <xdr:nvSpPr>
            <xdr:cNvPr id="8204" name="Button 12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Geopolítica y Regiones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95250</xdr:colOff>
          <xdr:row>12</xdr:row>
          <xdr:rowOff>0</xdr:rowOff>
        </xdr:from>
        <xdr:to>
          <xdr:col>14</xdr:col>
          <xdr:colOff>28575</xdr:colOff>
          <xdr:row>13</xdr:row>
          <xdr:rowOff>9525</xdr:rowOff>
        </xdr:to>
        <xdr:sp macro="" textlink="">
          <xdr:nvSpPr>
            <xdr:cNvPr id="8205" name="Button 13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Ambiente de Negocios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742950</xdr:colOff>
          <xdr:row>10</xdr:row>
          <xdr:rowOff>76200</xdr:rowOff>
        </xdr:from>
        <xdr:to>
          <xdr:col>11</xdr:col>
          <xdr:colOff>666750</xdr:colOff>
          <xdr:row>11</xdr:row>
          <xdr:rowOff>95250</xdr:rowOff>
        </xdr:to>
        <xdr:sp macro="" textlink="">
          <xdr:nvSpPr>
            <xdr:cNvPr id="8207" name="Button 15" hidden="1">
              <a:extLst>
                <a:ext uri="{63B3BB69-23CF-44E3-9099-C40C66FF867C}">
                  <a14:compatExt spid="_x0000_s8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Macroeconómicos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10</xdr:row>
          <xdr:rowOff>85725</xdr:rowOff>
        </xdr:from>
        <xdr:to>
          <xdr:col>14</xdr:col>
          <xdr:colOff>38100</xdr:colOff>
          <xdr:row>11</xdr:row>
          <xdr:rowOff>95250</xdr:rowOff>
        </xdr:to>
        <xdr:sp macro="" textlink="">
          <xdr:nvSpPr>
            <xdr:cNvPr id="8208" name="Button 16" hidden="1">
              <a:extLst>
                <a:ext uri="{63B3BB69-23CF-44E3-9099-C40C66FF867C}">
                  <a14:compatExt spid="_x0000_s8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Visión y Tenología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447675</xdr:colOff>
          <xdr:row>0</xdr:row>
          <xdr:rowOff>180975</xdr:rowOff>
        </xdr:from>
        <xdr:to>
          <xdr:col>6</xdr:col>
          <xdr:colOff>266700</xdr:colOff>
          <xdr:row>6</xdr:row>
          <xdr:rowOff>152400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800" b="1" i="0" u="none" strike="noStrike" baseline="0">
                  <a:solidFill>
                    <a:srgbClr val="000000"/>
                  </a:solidFill>
                  <a:latin typeface="Calibri"/>
                </a:rPr>
                <a:t>REGRESAR AL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0</xdr:row>
          <xdr:rowOff>180975</xdr:rowOff>
        </xdr:from>
        <xdr:to>
          <xdr:col>4</xdr:col>
          <xdr:colOff>666750</xdr:colOff>
          <xdr:row>6</xdr:row>
          <xdr:rowOff>152400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800" b="1" i="0" u="none" strike="noStrike" baseline="0">
                  <a:solidFill>
                    <a:srgbClr val="000000"/>
                  </a:solidFill>
                  <a:latin typeface="Calibri"/>
                </a:rPr>
                <a:t>REGRESAR AL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1</xdr:row>
          <xdr:rowOff>47625</xdr:rowOff>
        </xdr:from>
        <xdr:to>
          <xdr:col>4</xdr:col>
          <xdr:colOff>733425</xdr:colOff>
          <xdr:row>7</xdr:row>
          <xdr:rowOff>19050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800" b="1" i="0" u="none" strike="noStrike" baseline="0">
                  <a:solidFill>
                    <a:srgbClr val="000000"/>
                  </a:solidFill>
                  <a:latin typeface="Calibri"/>
                </a:rPr>
                <a:t>REGRESAR AL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1</xdr:row>
          <xdr:rowOff>0</xdr:rowOff>
        </xdr:from>
        <xdr:to>
          <xdr:col>4</xdr:col>
          <xdr:colOff>542925</xdr:colOff>
          <xdr:row>6</xdr:row>
          <xdr:rowOff>171450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800" b="1" i="0" u="none" strike="noStrike" baseline="0">
                  <a:solidFill>
                    <a:srgbClr val="000000"/>
                  </a:solidFill>
                  <a:latin typeface="Calibri"/>
                </a:rPr>
                <a:t>REGRESAR AL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552450</xdr:colOff>
          <xdr:row>1</xdr:row>
          <xdr:rowOff>28575</xdr:rowOff>
        </xdr:from>
        <xdr:to>
          <xdr:col>4</xdr:col>
          <xdr:colOff>714375</xdr:colOff>
          <xdr:row>7</xdr:row>
          <xdr:rowOff>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800" b="1" i="0" u="none" strike="noStrike" baseline="0">
                  <a:solidFill>
                    <a:srgbClr val="000000"/>
                  </a:solidFill>
                  <a:latin typeface="Calibri"/>
                </a:rPr>
                <a:t>REGRESAR AL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244475</xdr:colOff>
      <xdr:row>3</xdr:row>
      <xdr:rowOff>197304</xdr:rowOff>
    </xdr:from>
    <xdr:to>
      <xdr:col>68</xdr:col>
      <xdr:colOff>627800</xdr:colOff>
      <xdr:row>36</xdr:row>
      <xdr:rowOff>35129</xdr:rowOff>
    </xdr:to>
    <xdr:graphicFrame macro="">
      <xdr:nvGraphicFramePr>
        <xdr:cNvPr id="6" name="5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79</xdr:col>
      <xdr:colOff>393700</xdr:colOff>
      <xdr:row>3</xdr:row>
      <xdr:rowOff>231775</xdr:rowOff>
    </xdr:from>
    <xdr:to>
      <xdr:col>92</xdr:col>
      <xdr:colOff>538900</xdr:colOff>
      <xdr:row>36</xdr:row>
      <xdr:rowOff>82300</xdr:rowOff>
    </xdr:to>
    <xdr:graphicFrame macro="">
      <xdr:nvGraphicFramePr>
        <xdr:cNvPr id="44" name="43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103</xdr:col>
      <xdr:colOff>374650</xdr:colOff>
      <xdr:row>4</xdr:row>
      <xdr:rowOff>174625</xdr:rowOff>
    </xdr:from>
    <xdr:to>
      <xdr:col>116</xdr:col>
      <xdr:colOff>519850</xdr:colOff>
      <xdr:row>37</xdr:row>
      <xdr:rowOff>104525</xdr:rowOff>
    </xdr:to>
    <xdr:graphicFrame macro="">
      <xdr:nvGraphicFramePr>
        <xdr:cNvPr id="46" name="45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126</xdr:col>
      <xdr:colOff>288925</xdr:colOff>
      <xdr:row>5</xdr:row>
      <xdr:rowOff>0</xdr:rowOff>
    </xdr:from>
    <xdr:to>
      <xdr:col>139</xdr:col>
      <xdr:colOff>434125</xdr:colOff>
      <xdr:row>37</xdr:row>
      <xdr:rowOff>120400</xdr:rowOff>
    </xdr:to>
    <xdr:graphicFrame macro="">
      <xdr:nvGraphicFramePr>
        <xdr:cNvPr id="47" name="46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111127</xdr:colOff>
      <xdr:row>5</xdr:row>
      <xdr:rowOff>71437</xdr:rowOff>
    </xdr:from>
    <xdr:to>
      <xdr:col>18</xdr:col>
      <xdr:colOff>1605702</xdr:colOff>
      <xdr:row>38</xdr:row>
      <xdr:rowOff>110874</xdr:rowOff>
    </xdr:to>
    <xdr:graphicFrame macro="">
      <xdr:nvGraphicFramePr>
        <xdr:cNvPr id="23" name="22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547687</xdr:colOff>
      <xdr:row>34</xdr:row>
      <xdr:rowOff>83343</xdr:rowOff>
    </xdr:from>
    <xdr:to>
      <xdr:col>13</xdr:col>
      <xdr:colOff>2356355</xdr:colOff>
      <xdr:row>36</xdr:row>
      <xdr:rowOff>5412</xdr:rowOff>
    </xdr:to>
    <xdr:sp macro="" textlink="">
      <xdr:nvSpPr>
        <xdr:cNvPr id="24" name="23 CuadroTexto"/>
        <xdr:cNvSpPr txBox="1"/>
      </xdr:nvSpPr>
      <xdr:spPr>
        <a:xfrm>
          <a:off x="19026187" y="6750843"/>
          <a:ext cx="1808668" cy="3030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CO" sz="1400" b="1">
              <a:solidFill>
                <a:schemeClr val="bg1">
                  <a:lumMod val="65000"/>
                </a:schemeClr>
              </a:solidFill>
            </a:rPr>
            <a:t>Señales Débiles</a:t>
          </a:r>
        </a:p>
      </xdr:txBody>
    </xdr:sp>
    <xdr:clientData/>
  </xdr:twoCellAnchor>
  <xdr:twoCellAnchor>
    <xdr:from>
      <xdr:col>17</xdr:col>
      <xdr:colOff>2416969</xdr:colOff>
      <xdr:row>6</xdr:row>
      <xdr:rowOff>107155</xdr:rowOff>
    </xdr:from>
    <xdr:to>
      <xdr:col>18</xdr:col>
      <xdr:colOff>1285875</xdr:colOff>
      <xdr:row>9</xdr:row>
      <xdr:rowOff>74323</xdr:rowOff>
    </xdr:to>
    <xdr:sp macro="" textlink="">
      <xdr:nvSpPr>
        <xdr:cNvPr id="25" name="24 CuadroTexto"/>
        <xdr:cNvSpPr txBox="1"/>
      </xdr:nvSpPr>
      <xdr:spPr>
        <a:xfrm>
          <a:off x="26515219" y="1345405"/>
          <a:ext cx="1805781" cy="5704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Incertidumbres</a:t>
          </a:r>
        </a:p>
        <a:p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 Críticas</a:t>
          </a:r>
        </a:p>
      </xdr:txBody>
    </xdr:sp>
    <xdr:clientData/>
  </xdr:twoCellAnchor>
  <xdr:twoCellAnchor>
    <xdr:from>
      <xdr:col>17</xdr:col>
      <xdr:colOff>2488406</xdr:colOff>
      <xdr:row>34</xdr:row>
      <xdr:rowOff>0</xdr:rowOff>
    </xdr:from>
    <xdr:to>
      <xdr:col>18</xdr:col>
      <xdr:colOff>1357312</xdr:colOff>
      <xdr:row>36</xdr:row>
      <xdr:rowOff>163080</xdr:rowOff>
    </xdr:to>
    <xdr:sp macro="" textlink="">
      <xdr:nvSpPr>
        <xdr:cNvPr id="26" name="25 CuadroTexto"/>
        <xdr:cNvSpPr txBox="1"/>
      </xdr:nvSpPr>
      <xdr:spPr>
        <a:xfrm>
          <a:off x="26586656" y="6667500"/>
          <a:ext cx="1805781" cy="544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Necesidades por Acción</a:t>
          </a:r>
        </a:p>
      </xdr:txBody>
    </xdr:sp>
    <xdr:clientData/>
  </xdr:twoCellAnchor>
  <xdr:twoCellAnchor>
    <xdr:from>
      <xdr:col>56</xdr:col>
      <xdr:colOff>501196</xdr:colOff>
      <xdr:row>32</xdr:row>
      <xdr:rowOff>154214</xdr:rowOff>
    </xdr:from>
    <xdr:to>
      <xdr:col>59</xdr:col>
      <xdr:colOff>23864</xdr:colOff>
      <xdr:row>34</xdr:row>
      <xdr:rowOff>76283</xdr:rowOff>
    </xdr:to>
    <xdr:sp macro="" textlink="">
      <xdr:nvSpPr>
        <xdr:cNvPr id="27" name="26 CuadroTexto"/>
        <xdr:cNvSpPr txBox="1"/>
      </xdr:nvSpPr>
      <xdr:spPr>
        <a:xfrm>
          <a:off x="94830446" y="6329589"/>
          <a:ext cx="1808668" cy="3030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CO" sz="1400" b="1">
              <a:solidFill>
                <a:schemeClr val="bg1">
                  <a:lumMod val="65000"/>
                </a:schemeClr>
              </a:solidFill>
            </a:rPr>
            <a:t>Señales Débiles</a:t>
          </a:r>
        </a:p>
      </xdr:txBody>
    </xdr:sp>
    <xdr:clientData/>
  </xdr:twoCellAnchor>
  <xdr:twoCellAnchor>
    <xdr:from>
      <xdr:col>66</xdr:col>
      <xdr:colOff>130629</xdr:colOff>
      <xdr:row>31</xdr:row>
      <xdr:rowOff>125185</xdr:rowOff>
    </xdr:from>
    <xdr:to>
      <xdr:col>68</xdr:col>
      <xdr:colOff>414678</xdr:colOff>
      <xdr:row>34</xdr:row>
      <xdr:rowOff>97765</xdr:rowOff>
    </xdr:to>
    <xdr:sp macro="" textlink="">
      <xdr:nvSpPr>
        <xdr:cNvPr id="32" name="31 CuadroTexto"/>
        <xdr:cNvSpPr txBox="1"/>
      </xdr:nvSpPr>
      <xdr:spPr>
        <a:xfrm>
          <a:off x="84252254" y="6221185"/>
          <a:ext cx="1808049" cy="544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Necesidades por Acción</a:t>
          </a:r>
        </a:p>
      </xdr:txBody>
    </xdr:sp>
    <xdr:clientData/>
  </xdr:twoCellAnchor>
  <xdr:twoCellAnchor>
    <xdr:from>
      <xdr:col>80</xdr:col>
      <xdr:colOff>15875</xdr:colOff>
      <xdr:row>33</xdr:row>
      <xdr:rowOff>76654</xdr:rowOff>
    </xdr:from>
    <xdr:to>
      <xdr:col>82</xdr:col>
      <xdr:colOff>300543</xdr:colOff>
      <xdr:row>34</xdr:row>
      <xdr:rowOff>189223</xdr:rowOff>
    </xdr:to>
    <xdr:sp macro="" textlink="">
      <xdr:nvSpPr>
        <xdr:cNvPr id="33" name="32 CuadroTexto"/>
        <xdr:cNvSpPr txBox="1"/>
      </xdr:nvSpPr>
      <xdr:spPr>
        <a:xfrm>
          <a:off x="118554500" y="6521904"/>
          <a:ext cx="1808668" cy="3030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CO" sz="1400" b="1">
              <a:solidFill>
                <a:schemeClr val="bg1">
                  <a:lumMod val="65000"/>
                </a:schemeClr>
              </a:solidFill>
            </a:rPr>
            <a:t>Señales Débiles</a:t>
          </a:r>
        </a:p>
      </xdr:txBody>
    </xdr:sp>
    <xdr:clientData/>
  </xdr:twoCellAnchor>
  <xdr:twoCellAnchor>
    <xdr:from>
      <xdr:col>90</xdr:col>
      <xdr:colOff>70758</xdr:colOff>
      <xdr:row>32</xdr:row>
      <xdr:rowOff>19050</xdr:rowOff>
    </xdr:from>
    <xdr:to>
      <xdr:col>92</xdr:col>
      <xdr:colOff>354807</xdr:colOff>
      <xdr:row>34</xdr:row>
      <xdr:rowOff>182130</xdr:rowOff>
    </xdr:to>
    <xdr:sp macro="" textlink="">
      <xdr:nvSpPr>
        <xdr:cNvPr id="34" name="33 CuadroTexto"/>
        <xdr:cNvSpPr txBox="1"/>
      </xdr:nvSpPr>
      <xdr:spPr>
        <a:xfrm>
          <a:off x="126229383" y="6273800"/>
          <a:ext cx="1808049" cy="544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Necesidades por Acción</a:t>
          </a:r>
        </a:p>
      </xdr:txBody>
    </xdr:sp>
    <xdr:clientData/>
  </xdr:twoCellAnchor>
  <xdr:twoCellAnchor>
    <xdr:from>
      <xdr:col>104</xdr:col>
      <xdr:colOff>12700</xdr:colOff>
      <xdr:row>34</xdr:row>
      <xdr:rowOff>67129</xdr:rowOff>
    </xdr:from>
    <xdr:to>
      <xdr:col>106</xdr:col>
      <xdr:colOff>297368</xdr:colOff>
      <xdr:row>35</xdr:row>
      <xdr:rowOff>179698</xdr:rowOff>
    </xdr:to>
    <xdr:sp macro="" textlink="">
      <xdr:nvSpPr>
        <xdr:cNvPr id="35" name="34 CuadroTexto"/>
        <xdr:cNvSpPr txBox="1"/>
      </xdr:nvSpPr>
      <xdr:spPr>
        <a:xfrm>
          <a:off x="144776825" y="6702879"/>
          <a:ext cx="1808668" cy="3030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CO" sz="1400" b="1">
              <a:solidFill>
                <a:schemeClr val="bg1">
                  <a:lumMod val="65000"/>
                </a:schemeClr>
              </a:solidFill>
            </a:rPr>
            <a:t>Señales Débiles</a:t>
          </a:r>
        </a:p>
      </xdr:txBody>
    </xdr:sp>
    <xdr:clientData/>
  </xdr:twoCellAnchor>
  <xdr:twoCellAnchor>
    <xdr:from>
      <xdr:col>114</xdr:col>
      <xdr:colOff>16783</xdr:colOff>
      <xdr:row>32</xdr:row>
      <xdr:rowOff>117475</xdr:rowOff>
    </xdr:from>
    <xdr:to>
      <xdr:col>116</xdr:col>
      <xdr:colOff>300832</xdr:colOff>
      <xdr:row>35</xdr:row>
      <xdr:rowOff>90055</xdr:rowOff>
    </xdr:to>
    <xdr:sp macro="" textlink="">
      <xdr:nvSpPr>
        <xdr:cNvPr id="36" name="35 CuadroTexto"/>
        <xdr:cNvSpPr txBox="1"/>
      </xdr:nvSpPr>
      <xdr:spPr>
        <a:xfrm>
          <a:off x="152400908" y="6372225"/>
          <a:ext cx="1808049" cy="544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Necesidades por Acción</a:t>
          </a:r>
        </a:p>
      </xdr:txBody>
    </xdr:sp>
    <xdr:clientData/>
  </xdr:twoCellAnchor>
  <xdr:twoCellAnchor>
    <xdr:from>
      <xdr:col>126</xdr:col>
      <xdr:colOff>419100</xdr:colOff>
      <xdr:row>33</xdr:row>
      <xdr:rowOff>149679</xdr:rowOff>
    </xdr:from>
    <xdr:to>
      <xdr:col>128</xdr:col>
      <xdr:colOff>703768</xdr:colOff>
      <xdr:row>35</xdr:row>
      <xdr:rowOff>71748</xdr:rowOff>
    </xdr:to>
    <xdr:sp macro="" textlink="">
      <xdr:nvSpPr>
        <xdr:cNvPr id="40" name="39 CuadroTexto"/>
        <xdr:cNvSpPr txBox="1"/>
      </xdr:nvSpPr>
      <xdr:spPr>
        <a:xfrm>
          <a:off x="134785100" y="6626679"/>
          <a:ext cx="1808668" cy="3030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CO" sz="1400" b="1">
              <a:solidFill>
                <a:schemeClr val="bg1">
                  <a:lumMod val="65000"/>
                </a:schemeClr>
              </a:solidFill>
            </a:rPr>
            <a:t>Señales Débiles</a:t>
          </a:r>
        </a:p>
      </xdr:txBody>
    </xdr:sp>
    <xdr:clientData/>
  </xdr:twoCellAnchor>
  <xdr:twoCellAnchor>
    <xdr:from>
      <xdr:col>136</xdr:col>
      <xdr:colOff>318408</xdr:colOff>
      <xdr:row>32</xdr:row>
      <xdr:rowOff>152400</xdr:rowOff>
    </xdr:from>
    <xdr:to>
      <xdr:col>138</xdr:col>
      <xdr:colOff>602457</xdr:colOff>
      <xdr:row>35</xdr:row>
      <xdr:rowOff>124980</xdr:rowOff>
    </xdr:to>
    <xdr:sp macro="" textlink="">
      <xdr:nvSpPr>
        <xdr:cNvPr id="41" name="40 CuadroTexto"/>
        <xdr:cNvSpPr txBox="1"/>
      </xdr:nvSpPr>
      <xdr:spPr>
        <a:xfrm>
          <a:off x="142304408" y="6438900"/>
          <a:ext cx="1808049" cy="544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Necesidades por Acción</a:t>
          </a:r>
        </a:p>
      </xdr:txBody>
    </xdr:sp>
    <xdr:clientData/>
  </xdr:twoCellAnchor>
  <xdr:twoCellAnchor>
    <xdr:from>
      <xdr:col>89</xdr:col>
      <xdr:colOff>533400</xdr:colOff>
      <xdr:row>5</xdr:row>
      <xdr:rowOff>95250</xdr:rowOff>
    </xdr:from>
    <xdr:to>
      <xdr:col>91</xdr:col>
      <xdr:colOff>716632</xdr:colOff>
      <xdr:row>8</xdr:row>
      <xdr:rowOff>32782</xdr:rowOff>
    </xdr:to>
    <xdr:sp macro="" textlink="">
      <xdr:nvSpPr>
        <xdr:cNvPr id="42" name="24 CuadroTexto"/>
        <xdr:cNvSpPr txBox="1"/>
      </xdr:nvSpPr>
      <xdr:spPr>
        <a:xfrm>
          <a:off x="103832025" y="1127125"/>
          <a:ext cx="1707232" cy="5407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Incertidumbres</a:t>
          </a:r>
        </a:p>
        <a:p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 Críticas</a:t>
          </a:r>
        </a:p>
      </xdr:txBody>
    </xdr:sp>
    <xdr:clientData/>
  </xdr:twoCellAnchor>
  <xdr:twoCellAnchor>
    <xdr:from>
      <xdr:col>114</xdr:col>
      <xdr:colOff>184150</xdr:colOff>
      <xdr:row>6</xdr:row>
      <xdr:rowOff>44450</xdr:rowOff>
    </xdr:from>
    <xdr:to>
      <xdr:col>116</xdr:col>
      <xdr:colOff>367382</xdr:colOff>
      <xdr:row>8</xdr:row>
      <xdr:rowOff>172482</xdr:rowOff>
    </xdr:to>
    <xdr:sp macro="" textlink="">
      <xdr:nvSpPr>
        <xdr:cNvPr id="43" name="24 CuadroTexto"/>
        <xdr:cNvSpPr txBox="1"/>
      </xdr:nvSpPr>
      <xdr:spPr>
        <a:xfrm>
          <a:off x="152568275" y="1346200"/>
          <a:ext cx="1707232" cy="50903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Incertidumbres</a:t>
          </a:r>
        </a:p>
        <a:p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 Críticas</a:t>
          </a:r>
        </a:p>
      </xdr:txBody>
    </xdr:sp>
    <xdr:clientData/>
  </xdr:twoCellAnchor>
  <xdr:twoCellAnchor>
    <xdr:from>
      <xdr:col>136</xdr:col>
      <xdr:colOff>476250</xdr:colOff>
      <xdr:row>6</xdr:row>
      <xdr:rowOff>57150</xdr:rowOff>
    </xdr:from>
    <xdr:to>
      <xdr:col>138</xdr:col>
      <xdr:colOff>659482</xdr:colOff>
      <xdr:row>8</xdr:row>
      <xdr:rowOff>204232</xdr:rowOff>
    </xdr:to>
    <xdr:sp macro="" textlink="">
      <xdr:nvSpPr>
        <xdr:cNvPr id="45" name="24 CuadroTexto"/>
        <xdr:cNvSpPr txBox="1"/>
      </xdr:nvSpPr>
      <xdr:spPr>
        <a:xfrm>
          <a:off x="142462250" y="1295400"/>
          <a:ext cx="1707232" cy="543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Incertidumbres</a:t>
          </a:r>
        </a:p>
        <a:p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 Críticas</a:t>
          </a:r>
        </a:p>
      </xdr:txBody>
    </xdr:sp>
    <xdr:clientData/>
  </xdr:twoCellAnchor>
  <xdr:twoCellAnchor>
    <xdr:from>
      <xdr:col>2</xdr:col>
      <xdr:colOff>1305153</xdr:colOff>
      <xdr:row>5</xdr:row>
      <xdr:rowOff>53398</xdr:rowOff>
    </xdr:from>
    <xdr:to>
      <xdr:col>8</xdr:col>
      <xdr:colOff>2379550</xdr:colOff>
      <xdr:row>38</xdr:row>
      <xdr:rowOff>87710</xdr:rowOff>
    </xdr:to>
    <xdr:grpSp>
      <xdr:nvGrpSpPr>
        <xdr:cNvPr id="4" name="3 Grupo"/>
        <xdr:cNvGrpSpPr/>
      </xdr:nvGrpSpPr>
      <xdr:grpSpPr>
        <a:xfrm>
          <a:off x="3384778" y="1244023"/>
          <a:ext cx="10075522" cy="6511312"/>
          <a:chOff x="3384778" y="1085273"/>
          <a:chExt cx="10075522" cy="6431937"/>
        </a:xfrm>
      </xdr:grpSpPr>
      <xdr:graphicFrame macro="">
        <xdr:nvGraphicFramePr>
          <xdr:cNvPr id="3" name="2 Gráfico"/>
          <xdr:cNvGraphicFramePr>
            <a:graphicFrameLocks/>
          </xdr:cNvGraphicFramePr>
        </xdr:nvGraphicFramePr>
        <xdr:xfrm>
          <a:off x="3384778" y="1088571"/>
          <a:ext cx="10075522" cy="642863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">
        <xdr:nvSpPr>
          <xdr:cNvPr id="48" name="47 CuadroTexto"/>
          <xdr:cNvSpPr txBox="1"/>
        </xdr:nvSpPr>
        <xdr:spPr>
          <a:xfrm>
            <a:off x="11544011" y="1085273"/>
            <a:ext cx="1809750" cy="55851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es-CO" sz="1400" b="1">
                <a:solidFill>
                  <a:schemeClr val="bg1">
                    <a:lumMod val="65000"/>
                  </a:schemeClr>
                </a:solidFill>
              </a:rPr>
              <a:t>Incertidumbres</a:t>
            </a:r>
          </a:p>
          <a:p>
            <a:pPr algn="r"/>
            <a:r>
              <a:rPr lang="es-CO" sz="1400" b="1">
                <a:solidFill>
                  <a:schemeClr val="bg1">
                    <a:lumMod val="65000"/>
                  </a:schemeClr>
                </a:solidFill>
              </a:rPr>
              <a:t> Críticas</a:t>
            </a:r>
          </a:p>
        </xdr:txBody>
      </xdr:sp>
      <xdr:sp macro="" textlink="">
        <xdr:nvSpPr>
          <xdr:cNvPr id="49" name="48 CuadroTexto"/>
          <xdr:cNvSpPr txBox="1"/>
        </xdr:nvSpPr>
        <xdr:spPr>
          <a:xfrm>
            <a:off x="11470409" y="6667500"/>
            <a:ext cx="1809750" cy="5440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es-CO" sz="1400" b="1">
                <a:solidFill>
                  <a:schemeClr val="bg1">
                    <a:lumMod val="65000"/>
                  </a:schemeClr>
                </a:solidFill>
              </a:rPr>
              <a:t>Necesidades por Acción</a:t>
            </a:r>
          </a:p>
        </xdr:txBody>
      </xdr:sp>
      <xdr:sp macro="" textlink="">
        <xdr:nvSpPr>
          <xdr:cNvPr id="50" name="49 CuadroTexto"/>
          <xdr:cNvSpPr txBox="1"/>
        </xdr:nvSpPr>
        <xdr:spPr>
          <a:xfrm>
            <a:off x="3698875" y="6915367"/>
            <a:ext cx="1812637" cy="30306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s-CO" sz="1400" b="1">
                <a:solidFill>
                  <a:schemeClr val="bg1">
                    <a:lumMod val="65000"/>
                  </a:schemeClr>
                </a:solidFill>
              </a:rPr>
              <a:t>Señales Débiles</a:t>
            </a:r>
          </a:p>
        </xdr:txBody>
      </xdr:sp>
      <xdr:pic>
        <xdr:nvPicPr>
          <xdr:cNvPr id="2" name="1 Imagen"/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3714750" y="1190624"/>
            <a:ext cx="2197821" cy="470477"/>
          </a:xfrm>
          <a:prstGeom prst="rect">
            <a:avLst/>
          </a:prstGeom>
        </xdr:spPr>
      </xdr:pic>
    </xdr:grpSp>
    <xdr:clientData/>
  </xdr:twoCellAnchor>
  <xdr:twoCellAnchor editAs="oneCell">
    <xdr:from>
      <xdr:col>13</xdr:col>
      <xdr:colOff>476250</xdr:colOff>
      <xdr:row>6</xdr:row>
      <xdr:rowOff>63500</xdr:rowOff>
    </xdr:from>
    <xdr:to>
      <xdr:col>13</xdr:col>
      <xdr:colOff>2674071</xdr:colOff>
      <xdr:row>8</xdr:row>
      <xdr:rowOff>121227</xdr:rowOff>
    </xdr:to>
    <xdr:pic>
      <xdr:nvPicPr>
        <xdr:cNvPr id="51" name="50 Imagen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8954750" y="1301750"/>
          <a:ext cx="2197821" cy="470477"/>
        </a:xfrm>
        <a:prstGeom prst="rect">
          <a:avLst/>
        </a:prstGeom>
      </xdr:spPr>
    </xdr:pic>
    <xdr:clientData/>
  </xdr:twoCellAnchor>
  <xdr:twoCellAnchor editAs="oneCell">
    <xdr:from>
      <xdr:col>56</xdr:col>
      <xdr:colOff>635000</xdr:colOff>
      <xdr:row>4</xdr:row>
      <xdr:rowOff>127000</xdr:rowOff>
    </xdr:from>
    <xdr:to>
      <xdr:col>59</xdr:col>
      <xdr:colOff>546821</xdr:colOff>
      <xdr:row>6</xdr:row>
      <xdr:rowOff>121227</xdr:rowOff>
    </xdr:to>
    <xdr:pic>
      <xdr:nvPicPr>
        <xdr:cNvPr id="52" name="51 Imagen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4964250" y="968375"/>
          <a:ext cx="2197821" cy="470477"/>
        </a:xfrm>
        <a:prstGeom prst="rect">
          <a:avLst/>
        </a:prstGeom>
      </xdr:spPr>
    </xdr:pic>
    <xdr:clientData/>
  </xdr:twoCellAnchor>
  <xdr:twoCellAnchor editAs="oneCell">
    <xdr:from>
      <xdr:col>80</xdr:col>
      <xdr:colOff>31750</xdr:colOff>
      <xdr:row>4</xdr:row>
      <xdr:rowOff>158750</xdr:rowOff>
    </xdr:from>
    <xdr:to>
      <xdr:col>82</xdr:col>
      <xdr:colOff>705571</xdr:colOff>
      <xdr:row>6</xdr:row>
      <xdr:rowOff>152977</xdr:rowOff>
    </xdr:to>
    <xdr:pic>
      <xdr:nvPicPr>
        <xdr:cNvPr id="53" name="52 Imagen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8570375" y="1079500"/>
          <a:ext cx="2197821" cy="470477"/>
        </a:xfrm>
        <a:prstGeom prst="rect">
          <a:avLst/>
        </a:prstGeom>
      </xdr:spPr>
    </xdr:pic>
    <xdr:clientData/>
  </xdr:twoCellAnchor>
  <xdr:twoCellAnchor editAs="oneCell">
    <xdr:from>
      <xdr:col>104</xdr:col>
      <xdr:colOff>63500</xdr:colOff>
      <xdr:row>5</xdr:row>
      <xdr:rowOff>174625</xdr:rowOff>
    </xdr:from>
    <xdr:to>
      <xdr:col>106</xdr:col>
      <xdr:colOff>737321</xdr:colOff>
      <xdr:row>8</xdr:row>
      <xdr:rowOff>25977</xdr:rowOff>
    </xdr:to>
    <xdr:pic>
      <xdr:nvPicPr>
        <xdr:cNvPr id="54" name="53 Imagen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44827625" y="1285875"/>
          <a:ext cx="2197821" cy="470477"/>
        </a:xfrm>
        <a:prstGeom prst="rect">
          <a:avLst/>
        </a:prstGeom>
      </xdr:spPr>
    </xdr:pic>
    <xdr:clientData/>
  </xdr:twoCellAnchor>
  <xdr:twoCellAnchor editAs="oneCell">
    <xdr:from>
      <xdr:col>126</xdr:col>
      <xdr:colOff>412750</xdr:colOff>
      <xdr:row>7</xdr:row>
      <xdr:rowOff>0</xdr:rowOff>
    </xdr:from>
    <xdr:to>
      <xdr:col>129</xdr:col>
      <xdr:colOff>324571</xdr:colOff>
      <xdr:row>9</xdr:row>
      <xdr:rowOff>57727</xdr:rowOff>
    </xdr:to>
    <xdr:pic>
      <xdr:nvPicPr>
        <xdr:cNvPr id="55" name="54 Imagen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4778750" y="1428750"/>
          <a:ext cx="2197821" cy="470477"/>
        </a:xfrm>
        <a:prstGeom prst="rect">
          <a:avLst/>
        </a:prstGeom>
      </xdr:spPr>
    </xdr:pic>
    <xdr:clientData/>
  </xdr:twoCellAnchor>
  <xdr:twoCellAnchor editAs="oneCell">
    <xdr:from>
      <xdr:col>53</xdr:col>
      <xdr:colOff>301625</xdr:colOff>
      <xdr:row>44</xdr:row>
      <xdr:rowOff>111125</xdr:rowOff>
    </xdr:from>
    <xdr:to>
      <xdr:col>57</xdr:col>
      <xdr:colOff>665690</xdr:colOff>
      <xdr:row>49</xdr:row>
      <xdr:rowOff>63500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8694875" y="15144750"/>
          <a:ext cx="3412065" cy="984250"/>
        </a:xfrm>
        <a:prstGeom prst="rect">
          <a:avLst/>
        </a:prstGeom>
      </xdr:spPr>
    </xdr:pic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0.41981</cdr:x>
      <cdr:y>0.32955</cdr:y>
    </cdr:from>
    <cdr:to>
      <cdr:x>0.41981</cdr:x>
      <cdr:y>0.37831</cdr:y>
    </cdr:to>
    <cdr:cxnSp macro="">
      <cdr:nvCxnSpPr>
        <cdr:cNvPr id="21" name="20 Conector recto"/>
        <cdr:cNvCxnSpPr/>
      </cdr:nvCxnSpPr>
      <cdr:spPr>
        <a:xfrm xmlns:a="http://schemas.openxmlformats.org/drawingml/2006/main" flipV="1">
          <a:off x="4219575" y="2060121"/>
          <a:ext cx="0" cy="304800"/>
        </a:xfrm>
        <a:prstGeom xmlns:a="http://schemas.openxmlformats.org/drawingml/2006/main" prst="line">
          <a:avLst/>
        </a:prstGeom>
        <a:ln xmlns:a="http://schemas.openxmlformats.org/drawingml/2006/main" w="12700">
          <a:solidFill>
            <a:schemeClr val="accent6">
              <a:lumMod val="75000"/>
            </a:schemeClr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0.81498</cdr:x>
      <cdr:y>0.00885</cdr:y>
    </cdr:from>
    <cdr:to>
      <cdr:x>0.98484</cdr:x>
      <cdr:y>0.09545</cdr:y>
    </cdr:to>
    <cdr:sp macro="" textlink="">
      <cdr:nvSpPr>
        <cdr:cNvPr id="5" name="24 CuadroTexto"/>
        <cdr:cNvSpPr txBox="1"/>
      </cdr:nvSpPr>
      <cdr:spPr>
        <a:xfrm xmlns:a="http://schemas.openxmlformats.org/drawingml/2006/main">
          <a:off x="8191568" y="55897"/>
          <a:ext cx="1707232" cy="54713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Incertidumbres</a:t>
          </a:r>
        </a:p>
        <a:p xmlns:a="http://schemas.openxmlformats.org/drawingml/2006/main">
          <a:pPr algn="r"/>
          <a:r>
            <a:rPr lang="es-CO" sz="1400" b="1">
              <a:solidFill>
                <a:schemeClr val="bg1">
                  <a:lumMod val="65000"/>
                </a:schemeClr>
              </a:solidFill>
            </a:rPr>
            <a:t> Críticas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0.56951</cdr:x>
      <cdr:y>0.30118</cdr:y>
    </cdr:from>
    <cdr:to>
      <cdr:x>0.59788</cdr:x>
      <cdr:y>0.33008</cdr:y>
    </cdr:to>
    <cdr:cxnSp macro="">
      <cdr:nvCxnSpPr>
        <cdr:cNvPr id="19" name="18 Conector recto"/>
        <cdr:cNvCxnSpPr/>
      </cdr:nvCxnSpPr>
      <cdr:spPr>
        <a:xfrm xmlns:a="http://schemas.openxmlformats.org/drawingml/2006/main" flipV="1">
          <a:off x="6055180" y="1902732"/>
          <a:ext cx="301625" cy="182563"/>
        </a:xfrm>
        <a:prstGeom xmlns:a="http://schemas.openxmlformats.org/drawingml/2006/main" prst="line">
          <a:avLst/>
        </a:prstGeom>
        <a:ln xmlns:a="http://schemas.openxmlformats.org/drawingml/2006/main" w="12700">
          <a:solidFill>
            <a:srgbClr val="0066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0.42232</cdr:x>
      <cdr:y>0.262</cdr:y>
    </cdr:from>
    <cdr:to>
      <cdr:x>0.42244</cdr:x>
      <cdr:y>0.3696</cdr:y>
    </cdr:to>
    <cdr:cxnSp macro="">
      <cdr:nvCxnSpPr>
        <cdr:cNvPr id="3" name="2 Conector recto"/>
        <cdr:cNvCxnSpPr/>
      </cdr:nvCxnSpPr>
      <cdr:spPr>
        <a:xfrm xmlns:a="http://schemas.openxmlformats.org/drawingml/2006/main" flipH="1" flipV="1">
          <a:off x="4246754" y="1669110"/>
          <a:ext cx="1207" cy="685527"/>
        </a:xfrm>
        <a:prstGeom xmlns:a="http://schemas.openxmlformats.org/drawingml/2006/main" prst="line">
          <a:avLst/>
        </a:prstGeom>
        <a:ln xmlns:a="http://schemas.openxmlformats.org/drawingml/2006/main" w="12700">
          <a:solidFill>
            <a:schemeClr val="accent6">
              <a:lumMod val="75000"/>
            </a:schemeClr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0.40702</cdr:x>
      <cdr:y>0.22395</cdr:y>
    </cdr:from>
    <cdr:to>
      <cdr:x>0.40707</cdr:x>
      <cdr:y>0.36489</cdr:y>
    </cdr:to>
    <cdr:cxnSp macro="">
      <cdr:nvCxnSpPr>
        <cdr:cNvPr id="7" name="6 Conector recto"/>
        <cdr:cNvCxnSpPr/>
      </cdr:nvCxnSpPr>
      <cdr:spPr>
        <a:xfrm xmlns:a="http://schemas.openxmlformats.org/drawingml/2006/main" flipH="1" flipV="1">
          <a:off x="4094527" y="1423256"/>
          <a:ext cx="508" cy="895683"/>
        </a:xfrm>
        <a:prstGeom xmlns:a="http://schemas.openxmlformats.org/drawingml/2006/main" prst="line">
          <a:avLst/>
        </a:prstGeom>
        <a:ln xmlns:a="http://schemas.openxmlformats.org/drawingml/2006/main" w="12700">
          <a:solidFill>
            <a:schemeClr val="accent6">
              <a:lumMod val="75000"/>
            </a:schemeClr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0.43415</cdr:x>
      <cdr:y>0.28253</cdr:y>
    </cdr:from>
    <cdr:to>
      <cdr:x>0.43525</cdr:x>
      <cdr:y>0.38127</cdr:y>
    </cdr:to>
    <cdr:cxnSp macro="">
      <cdr:nvCxnSpPr>
        <cdr:cNvPr id="11" name="10 Conector recto"/>
        <cdr:cNvCxnSpPr/>
      </cdr:nvCxnSpPr>
      <cdr:spPr>
        <a:xfrm xmlns:a="http://schemas.openxmlformats.org/drawingml/2006/main" flipH="1">
          <a:off x="4365768" y="1799946"/>
          <a:ext cx="11061" cy="629025"/>
        </a:xfrm>
        <a:prstGeom xmlns:a="http://schemas.openxmlformats.org/drawingml/2006/main" prst="line">
          <a:avLst/>
        </a:prstGeom>
        <a:ln xmlns:a="http://schemas.openxmlformats.org/drawingml/2006/main" w="12700">
          <a:solidFill>
            <a:srgbClr val="003399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0.36794</cdr:x>
      <cdr:y>0.41879</cdr:y>
    </cdr:from>
    <cdr:to>
      <cdr:x>0.40411</cdr:x>
      <cdr:y>0.42864</cdr:y>
    </cdr:to>
    <cdr:cxnSp macro="">
      <cdr:nvCxnSpPr>
        <cdr:cNvPr id="21" name="20 Conector recto"/>
        <cdr:cNvCxnSpPr/>
      </cdr:nvCxnSpPr>
      <cdr:spPr>
        <a:xfrm xmlns:a="http://schemas.openxmlformats.org/drawingml/2006/main" flipV="1">
          <a:off x="3701364" y="2661506"/>
          <a:ext cx="363855" cy="62605"/>
        </a:xfrm>
        <a:prstGeom xmlns:a="http://schemas.openxmlformats.org/drawingml/2006/main" prst="line">
          <a:avLst/>
        </a:prstGeom>
        <a:ln xmlns:a="http://schemas.openxmlformats.org/drawingml/2006/main" w="12700">
          <a:solidFill>
            <a:schemeClr val="accent6">
              <a:lumMod val="75000"/>
            </a:schemeClr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0.57582</cdr:x>
      <cdr:y>0.34986</cdr:y>
    </cdr:from>
    <cdr:to>
      <cdr:x>0.6069</cdr:x>
      <cdr:y>0.39044</cdr:y>
    </cdr:to>
    <cdr:cxnSp macro="">
      <cdr:nvCxnSpPr>
        <cdr:cNvPr id="17" name="16 Conector recto"/>
        <cdr:cNvCxnSpPr/>
      </cdr:nvCxnSpPr>
      <cdr:spPr>
        <a:xfrm xmlns:a="http://schemas.openxmlformats.org/drawingml/2006/main" flipV="1">
          <a:off x="5797775" y="2229304"/>
          <a:ext cx="312965" cy="258536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rgbClr val="0066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0.56951</cdr:x>
      <cdr:y>0.30118</cdr:y>
    </cdr:from>
    <cdr:to>
      <cdr:x>0.59788</cdr:x>
      <cdr:y>0.33008</cdr:y>
    </cdr:to>
    <cdr:cxnSp macro="">
      <cdr:nvCxnSpPr>
        <cdr:cNvPr id="19" name="18 Conector recto"/>
        <cdr:cNvCxnSpPr/>
      </cdr:nvCxnSpPr>
      <cdr:spPr>
        <a:xfrm xmlns:a="http://schemas.openxmlformats.org/drawingml/2006/main" flipV="1">
          <a:off x="6055180" y="1902732"/>
          <a:ext cx="301625" cy="182563"/>
        </a:xfrm>
        <a:prstGeom xmlns:a="http://schemas.openxmlformats.org/drawingml/2006/main" prst="line">
          <a:avLst/>
        </a:prstGeom>
        <a:ln xmlns:a="http://schemas.openxmlformats.org/drawingml/2006/main" w="12700">
          <a:solidFill>
            <a:srgbClr val="0066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28235</xdr:colOff>
      <xdr:row>48</xdr:row>
      <xdr:rowOff>199005</xdr:rowOff>
    </xdr:from>
    <xdr:to>
      <xdr:col>12</xdr:col>
      <xdr:colOff>599736</xdr:colOff>
      <xdr:row>79</xdr:row>
      <xdr:rowOff>131006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912019</xdr:colOff>
      <xdr:row>94</xdr:row>
      <xdr:rowOff>369094</xdr:rowOff>
    </xdr:from>
    <xdr:to>
      <xdr:col>13</xdr:col>
      <xdr:colOff>280989</xdr:colOff>
      <xdr:row>126</xdr:row>
      <xdr:rowOff>127604</xdr:rowOff>
    </xdr:to>
    <xdr:graphicFrame macro="">
      <xdr:nvGraphicFramePr>
        <xdr:cNvPr id="3" name="2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206829</xdr:colOff>
      <xdr:row>162</xdr:row>
      <xdr:rowOff>16329</xdr:rowOff>
    </xdr:from>
    <xdr:to>
      <xdr:col>12</xdr:col>
      <xdr:colOff>247651</xdr:colOff>
      <xdr:row>192</xdr:row>
      <xdr:rowOff>181352</xdr:rowOff>
    </xdr:to>
    <xdr:graphicFrame macro="">
      <xdr:nvGraphicFramePr>
        <xdr:cNvPr id="5" name="4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1257300</xdr:colOff>
      <xdr:row>204</xdr:row>
      <xdr:rowOff>189139</xdr:rowOff>
    </xdr:from>
    <xdr:to>
      <xdr:col>13</xdr:col>
      <xdr:colOff>536122</xdr:colOff>
      <xdr:row>235</xdr:row>
      <xdr:rowOff>109233</xdr:rowOff>
    </xdr:to>
    <xdr:graphicFrame macro="">
      <xdr:nvGraphicFramePr>
        <xdr:cNvPr id="6" name="5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</xdr:col>
      <xdr:colOff>160072</xdr:colOff>
      <xdr:row>5</xdr:row>
      <xdr:rowOff>181239</xdr:rowOff>
    </xdr:from>
    <xdr:to>
      <xdr:col>2</xdr:col>
      <xdr:colOff>3100916</xdr:colOff>
      <xdr:row>7</xdr:row>
      <xdr:rowOff>762944</xdr:rowOff>
    </xdr:to>
    <xdr:pic>
      <xdr:nvPicPr>
        <xdr:cNvPr id="7" name="4 Imagen"/>
        <xdr:cNvPicPr/>
      </xdr:nvPicPr>
      <xdr:blipFill rotWithShape="1"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87" b="5570"/>
        <a:stretch/>
      </xdr:blipFill>
      <xdr:spPr>
        <a:xfrm>
          <a:off x="456405" y="1144322"/>
          <a:ext cx="4570678" cy="270895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154781</xdr:colOff>
      <xdr:row>164</xdr:row>
      <xdr:rowOff>0</xdr:rowOff>
    </xdr:from>
    <xdr:to>
      <xdr:col>13</xdr:col>
      <xdr:colOff>666750</xdr:colOff>
      <xdr:row>195</xdr:row>
      <xdr:rowOff>77597</xdr:rowOff>
    </xdr:to>
    <xdr:graphicFrame macro="">
      <xdr:nvGraphicFramePr>
        <xdr:cNvPr id="65" name="64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1535906</xdr:colOff>
      <xdr:row>208</xdr:row>
      <xdr:rowOff>202405</xdr:rowOff>
    </xdr:from>
    <xdr:to>
      <xdr:col>14</xdr:col>
      <xdr:colOff>2321719</xdr:colOff>
      <xdr:row>237</xdr:row>
      <xdr:rowOff>77597</xdr:rowOff>
    </xdr:to>
    <xdr:graphicFrame macro="">
      <xdr:nvGraphicFramePr>
        <xdr:cNvPr id="39" name="38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964407</xdr:colOff>
      <xdr:row>7</xdr:row>
      <xdr:rowOff>158903</xdr:rowOff>
    </xdr:from>
    <xdr:to>
      <xdr:col>3</xdr:col>
      <xdr:colOff>2428876</xdr:colOff>
      <xdr:row>26</xdr:row>
      <xdr:rowOff>185661</xdr:rowOff>
    </xdr:to>
    <xdr:pic>
      <xdr:nvPicPr>
        <xdr:cNvPr id="5" name="Imagen 4" descr="http://blogger3cero.com/wp-content/uploads/2013/04/google-trends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7438" y="1528122"/>
          <a:ext cx="5488782" cy="3646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62</xdr:row>
      <xdr:rowOff>0</xdr:rowOff>
    </xdr:from>
    <xdr:to>
      <xdr:col>11</xdr:col>
      <xdr:colOff>1071563</xdr:colOff>
      <xdr:row>93</xdr:row>
      <xdr:rowOff>29973</xdr:rowOff>
    </xdr:to>
    <xdr:graphicFrame macro="">
      <xdr:nvGraphicFramePr>
        <xdr:cNvPr id="3" name="2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869157</xdr:colOff>
      <xdr:row>102</xdr:row>
      <xdr:rowOff>202405</xdr:rowOff>
    </xdr:from>
    <xdr:to>
      <xdr:col>11</xdr:col>
      <xdr:colOff>1047752</xdr:colOff>
      <xdr:row>132</xdr:row>
      <xdr:rowOff>65690</xdr:rowOff>
    </xdr:to>
    <xdr:graphicFrame macro="">
      <xdr:nvGraphicFramePr>
        <xdr:cNvPr id="4" name="3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533234</xdr:colOff>
      <xdr:row>4</xdr:row>
      <xdr:rowOff>66674</xdr:rowOff>
    </xdr:from>
    <xdr:to>
      <xdr:col>3</xdr:col>
      <xdr:colOff>3038474</xdr:colOff>
      <xdr:row>16</xdr:row>
      <xdr:rowOff>150898</xdr:rowOff>
    </xdr:to>
    <xdr:pic>
      <xdr:nvPicPr>
        <xdr:cNvPr id="5" name="Imagen 4" descr="http://multi-seo.com/wp-content/uploads/2014/03/Google-News-publisher-UK-property-sector-seeks-guest-articles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234" y="857249"/>
          <a:ext cx="4838865" cy="2370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15874</xdr:colOff>
      <xdr:row>100</xdr:row>
      <xdr:rowOff>23813</xdr:rowOff>
    </xdr:from>
    <xdr:to>
      <xdr:col>17</xdr:col>
      <xdr:colOff>988218</xdr:colOff>
      <xdr:row>129</xdr:row>
      <xdr:rowOff>147713</xdr:rowOff>
    </xdr:to>
    <xdr:graphicFrame macro="">
      <xdr:nvGraphicFramePr>
        <xdr:cNvPr id="3" name="2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100852</xdr:colOff>
      <xdr:row>6</xdr:row>
      <xdr:rowOff>168088</xdr:rowOff>
    </xdr:from>
    <xdr:to>
      <xdr:col>3</xdr:col>
      <xdr:colOff>1431940</xdr:colOff>
      <xdr:row>6</xdr:row>
      <xdr:rowOff>1456764</xdr:rowOff>
    </xdr:to>
    <xdr:pic>
      <xdr:nvPicPr>
        <xdr:cNvPr id="4" name="irc_mi" descr="http://community.freepatentsonline.com/sites/all/themes/FPO/images/fpo-logo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852" y="1400735"/>
          <a:ext cx="3247294" cy="1288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57</xdr:row>
      <xdr:rowOff>0</xdr:rowOff>
    </xdr:from>
    <xdr:to>
      <xdr:col>14</xdr:col>
      <xdr:colOff>579438</xdr:colOff>
      <xdr:row>86</xdr:row>
      <xdr:rowOff>135806</xdr:rowOff>
    </xdr:to>
    <xdr:graphicFrame macro="">
      <xdr:nvGraphicFramePr>
        <xdr:cNvPr id="5" name="4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51934</xdr:colOff>
      <xdr:row>64</xdr:row>
      <xdr:rowOff>41388</xdr:rowOff>
    </xdr:from>
    <xdr:to>
      <xdr:col>11</xdr:col>
      <xdr:colOff>272142</xdr:colOff>
      <xdr:row>95</xdr:row>
      <xdr:rowOff>190500</xdr:rowOff>
    </xdr:to>
    <xdr:graphicFrame macro="">
      <xdr:nvGraphicFramePr>
        <xdr:cNvPr id="40" name="39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24491</xdr:colOff>
      <xdr:row>106</xdr:row>
      <xdr:rowOff>186077</xdr:rowOff>
    </xdr:from>
    <xdr:to>
      <xdr:col>12</xdr:col>
      <xdr:colOff>1714500</xdr:colOff>
      <xdr:row>136</xdr:row>
      <xdr:rowOff>190500</xdr:rowOff>
    </xdr:to>
    <xdr:graphicFrame macro="">
      <xdr:nvGraphicFramePr>
        <xdr:cNvPr id="41" name="40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2340428</xdr:colOff>
      <xdr:row>6</xdr:row>
      <xdr:rowOff>13608</xdr:rowOff>
    </xdr:from>
    <xdr:to>
      <xdr:col>2</xdr:col>
      <xdr:colOff>4218214</xdr:colOff>
      <xdr:row>16</xdr:row>
      <xdr:rowOff>0</xdr:rowOff>
    </xdr:to>
    <xdr:pic>
      <xdr:nvPicPr>
        <xdr:cNvPr id="4" name="irc_mi" descr="http://www.ificc.cl/sites/default/files/scopus.jpg?139688517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2428" y="1183822"/>
          <a:ext cx="4463143" cy="246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B1:O26"/>
  <sheetViews>
    <sheetView tabSelected="1" zoomScaleNormal="100" workbookViewId="0">
      <selection activeCell="J16" sqref="J16:O16"/>
    </sheetView>
  </sheetViews>
  <sheetFormatPr baseColWidth="10" defaultRowHeight="15" x14ac:dyDescent="0.25"/>
  <cols>
    <col min="1" max="16384" width="11.42578125" style="125"/>
  </cols>
  <sheetData>
    <row r="1" spans="2:15" ht="39.75" customHeight="1" x14ac:dyDescent="0.25">
      <c r="C1" s="167" t="s">
        <v>411</v>
      </c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</row>
    <row r="2" spans="2:15" ht="7.5" customHeight="1" x14ac:dyDescent="0.25"/>
    <row r="3" spans="2:15" x14ac:dyDescent="0.25">
      <c r="D3" s="168" t="s">
        <v>438</v>
      </c>
      <c r="E3" s="168"/>
      <c r="F3" s="168"/>
      <c r="G3" s="168"/>
      <c r="H3" s="168"/>
      <c r="I3" s="168"/>
      <c r="J3" s="168"/>
      <c r="K3" s="168"/>
      <c r="L3" s="168"/>
      <c r="M3" s="168"/>
    </row>
    <row r="4" spans="2:15" ht="6" customHeight="1" thickBot="1" x14ac:dyDescent="0.3"/>
    <row r="5" spans="2:15" ht="15.75" thickBot="1" x14ac:dyDescent="0.3">
      <c r="B5" s="169" t="s">
        <v>410</v>
      </c>
      <c r="C5" s="170"/>
      <c r="D5" s="170"/>
      <c r="E5" s="170"/>
      <c r="F5" s="170"/>
      <c r="G5" s="171"/>
      <c r="J5" s="169" t="s">
        <v>414</v>
      </c>
      <c r="K5" s="170"/>
      <c r="L5" s="170"/>
      <c r="M5" s="170"/>
      <c r="N5" s="170"/>
      <c r="O5" s="171"/>
    </row>
    <row r="6" spans="2:15" x14ac:dyDescent="0.25">
      <c r="B6" s="126"/>
      <c r="C6" s="127"/>
      <c r="D6" s="127"/>
      <c r="E6" s="127"/>
      <c r="F6" s="127"/>
      <c r="G6" s="128"/>
      <c r="J6" s="126"/>
      <c r="K6" s="127"/>
      <c r="L6" s="127"/>
      <c r="M6" s="127"/>
      <c r="N6" s="127"/>
      <c r="O6" s="128"/>
    </row>
    <row r="7" spans="2:15" x14ac:dyDescent="0.25">
      <c r="B7" s="126"/>
      <c r="C7" s="127"/>
      <c r="D7" s="127"/>
      <c r="E7" s="127"/>
      <c r="F7" s="127"/>
      <c r="G7" s="128"/>
      <c r="J7" s="126"/>
      <c r="K7" s="127"/>
      <c r="L7" s="127"/>
      <c r="M7" s="127"/>
      <c r="N7" s="127"/>
      <c r="O7" s="128"/>
    </row>
    <row r="8" spans="2:15" x14ac:dyDescent="0.25">
      <c r="B8" s="126"/>
      <c r="C8" s="127"/>
      <c r="D8" s="127"/>
      <c r="E8" s="127"/>
      <c r="F8" s="127"/>
      <c r="G8" s="128"/>
      <c r="J8" s="126"/>
      <c r="K8" s="127"/>
      <c r="L8" s="127"/>
      <c r="M8" s="127"/>
      <c r="N8" s="127"/>
      <c r="O8" s="128"/>
    </row>
    <row r="9" spans="2:15" x14ac:dyDescent="0.25">
      <c r="B9" s="126"/>
      <c r="C9" s="127"/>
      <c r="D9" s="127"/>
      <c r="E9" s="127"/>
      <c r="F9" s="127"/>
      <c r="G9" s="128"/>
      <c r="J9" s="127"/>
      <c r="K9" s="127"/>
      <c r="L9" s="127"/>
      <c r="M9" s="127"/>
      <c r="N9" s="127"/>
      <c r="O9" s="127"/>
    </row>
    <row r="10" spans="2:15" ht="15" customHeight="1" x14ac:dyDescent="0.25">
      <c r="B10" s="126"/>
      <c r="C10" s="127"/>
      <c r="D10" s="127"/>
      <c r="E10" s="127"/>
      <c r="F10" s="127"/>
      <c r="G10" s="128"/>
      <c r="J10" s="163" t="s">
        <v>429</v>
      </c>
      <c r="K10" s="163"/>
      <c r="L10" s="163"/>
      <c r="M10" s="163"/>
      <c r="N10" s="163"/>
      <c r="O10" s="163"/>
    </row>
    <row r="11" spans="2:15" x14ac:dyDescent="0.25">
      <c r="B11" s="126"/>
      <c r="C11" s="127"/>
      <c r="D11" s="127"/>
      <c r="E11" s="127"/>
      <c r="F11" s="127"/>
      <c r="G11" s="128"/>
      <c r="J11" s="127"/>
      <c r="K11" s="127"/>
      <c r="L11" s="127"/>
      <c r="M11" s="127"/>
      <c r="N11" s="127"/>
      <c r="O11" s="127"/>
    </row>
    <row r="12" spans="2:15" x14ac:dyDescent="0.25">
      <c r="B12" s="126"/>
      <c r="C12" s="127"/>
      <c r="D12" s="127"/>
      <c r="E12" s="127"/>
      <c r="F12" s="127"/>
      <c r="G12" s="128"/>
      <c r="J12" s="127"/>
      <c r="K12" s="127"/>
      <c r="L12" s="127"/>
      <c r="M12" s="127"/>
      <c r="N12" s="127"/>
      <c r="O12" s="127"/>
    </row>
    <row r="13" spans="2:15" x14ac:dyDescent="0.25">
      <c r="B13" s="126"/>
      <c r="C13" s="127"/>
      <c r="D13" s="127"/>
      <c r="E13" s="127"/>
      <c r="F13" s="127"/>
      <c r="G13" s="128"/>
      <c r="J13" s="127"/>
      <c r="K13" s="127"/>
      <c r="L13" s="127"/>
      <c r="M13" s="127"/>
      <c r="N13" s="127"/>
      <c r="O13" s="127"/>
    </row>
    <row r="14" spans="2:15" x14ac:dyDescent="0.25">
      <c r="B14" s="126"/>
      <c r="C14" s="127"/>
      <c r="D14" s="127"/>
      <c r="E14" s="127"/>
      <c r="F14" s="127"/>
      <c r="G14" s="128"/>
      <c r="J14" s="127"/>
      <c r="K14" s="127"/>
      <c r="L14" s="127"/>
      <c r="M14" s="127"/>
      <c r="N14" s="127"/>
      <c r="O14" s="127"/>
    </row>
    <row r="15" spans="2:15" ht="11.25" customHeight="1" thickBot="1" x14ac:dyDescent="0.3">
      <c r="B15" s="126"/>
      <c r="C15" s="127"/>
      <c r="D15" s="127"/>
      <c r="E15" s="127"/>
      <c r="F15" s="127"/>
      <c r="G15" s="128"/>
    </row>
    <row r="16" spans="2:15" ht="18" customHeight="1" thickBot="1" x14ac:dyDescent="0.3">
      <c r="B16" s="172" t="s">
        <v>413</v>
      </c>
      <c r="C16" s="173"/>
      <c r="D16" s="173"/>
      <c r="E16" s="127"/>
      <c r="F16" s="127"/>
      <c r="G16" s="128"/>
      <c r="J16" s="164" t="s">
        <v>415</v>
      </c>
      <c r="K16" s="165"/>
      <c r="L16" s="165"/>
      <c r="M16" s="165"/>
      <c r="N16" s="165"/>
      <c r="O16" s="166"/>
    </row>
    <row r="17" spans="2:15" ht="12.75" customHeight="1" x14ac:dyDescent="0.25">
      <c r="B17" s="172"/>
      <c r="C17" s="173"/>
      <c r="D17" s="173"/>
      <c r="E17" s="127"/>
      <c r="F17" s="127"/>
      <c r="G17" s="128"/>
    </row>
    <row r="18" spans="2:15" x14ac:dyDescent="0.25">
      <c r="B18" s="126"/>
      <c r="C18" s="127"/>
      <c r="D18" s="127"/>
      <c r="E18" s="127"/>
      <c r="F18" s="127"/>
      <c r="G18" s="128"/>
    </row>
    <row r="19" spans="2:15" x14ac:dyDescent="0.25">
      <c r="B19" s="126"/>
      <c r="C19" s="127"/>
      <c r="D19" s="127"/>
      <c r="E19" s="127"/>
      <c r="F19" s="127"/>
      <c r="G19" s="128"/>
    </row>
    <row r="20" spans="2:15" ht="15.75" thickBot="1" x14ac:dyDescent="0.3">
      <c r="B20" s="129"/>
      <c r="C20" s="130"/>
      <c r="D20" s="130"/>
      <c r="E20" s="130"/>
      <c r="F20" s="130"/>
      <c r="G20" s="131"/>
    </row>
    <row r="22" spans="2:15" ht="7.5" customHeight="1" x14ac:dyDescent="0.25"/>
    <row r="23" spans="2:15" ht="9" customHeight="1" x14ac:dyDescent="0.25"/>
    <row r="24" spans="2:15" ht="3.75" customHeight="1" x14ac:dyDescent="0.25"/>
    <row r="25" spans="2:15" ht="3" customHeight="1" thickBot="1" x14ac:dyDescent="0.3"/>
    <row r="26" spans="2:15" ht="19.5" thickBot="1" x14ac:dyDescent="0.35">
      <c r="J26" s="160" t="s">
        <v>412</v>
      </c>
      <c r="K26" s="161"/>
      <c r="L26" s="161"/>
      <c r="M26" s="161"/>
      <c r="N26" s="161"/>
      <c r="O26" s="162"/>
    </row>
  </sheetData>
  <mergeCells count="8">
    <mergeCell ref="J26:O26"/>
    <mergeCell ref="J10:O10"/>
    <mergeCell ref="J16:O16"/>
    <mergeCell ref="C1:N1"/>
    <mergeCell ref="D3:M3"/>
    <mergeCell ref="B5:G5"/>
    <mergeCell ref="J5:O5"/>
    <mergeCell ref="B16:D17"/>
  </mergeCells>
  <hyperlinks>
    <hyperlink ref="J16:O16" location="Instrucciones!A1" display="INSTRUCCIONES"/>
  </hyperlink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Free_Patetns">
                <anchor moveWithCells="1">
                  <from>
                    <xdr:col>1</xdr:col>
                    <xdr:colOff>114300</xdr:colOff>
                    <xdr:row>5</xdr:row>
                    <xdr:rowOff>142875</xdr:rowOff>
                  </from>
                  <to>
                    <xdr:col>4</xdr:col>
                    <xdr:colOff>76200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news">
                <anchor moveWithCells="1">
                  <from>
                    <xdr:col>1</xdr:col>
                    <xdr:colOff>114300</xdr:colOff>
                    <xdr:row>7</xdr:row>
                    <xdr:rowOff>171450</xdr:rowOff>
                  </from>
                  <to>
                    <xdr:col>4</xdr:col>
                    <xdr:colOff>76200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Trends">
                <anchor moveWithCells="1">
                  <from>
                    <xdr:col>1</xdr:col>
                    <xdr:colOff>114300</xdr:colOff>
                    <xdr:row>10</xdr:row>
                    <xdr:rowOff>28575</xdr:rowOff>
                  </from>
                  <to>
                    <xdr:col>4</xdr:col>
                    <xdr:colOff>85725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Button 4">
              <controlPr defaultSize="0" print="0" autoFill="0" autoPict="0" macro="[0]!T_Scopus">
                <anchor moveWithCells="1">
                  <from>
                    <xdr:col>1</xdr:col>
                    <xdr:colOff>114300</xdr:colOff>
                    <xdr:row>12</xdr:row>
                    <xdr:rowOff>95250</xdr:rowOff>
                  </from>
                  <to>
                    <xdr:col>4</xdr:col>
                    <xdr:colOff>76200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Button 5">
              <controlPr defaultSize="0" print="0" autoFill="0" autoPict="0" macro="[0]!Sort_1">
                <anchor moveWithCells="1">
                  <from>
                    <xdr:col>5</xdr:col>
                    <xdr:colOff>76200</xdr:colOff>
                    <xdr:row>7</xdr:row>
                    <xdr:rowOff>28575</xdr:rowOff>
                  </from>
                  <to>
                    <xdr:col>6</xdr:col>
                    <xdr:colOff>285750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Button 6">
              <controlPr defaultSize="0" print="0" autoFill="0" autoPict="0" macro="[0]!PROMEDIOS">
                <anchor moveWithCells="1">
                  <from>
                    <xdr:col>1</xdr:col>
                    <xdr:colOff>85725</xdr:colOff>
                    <xdr:row>17</xdr:row>
                    <xdr:rowOff>85725</xdr:rowOff>
                  </from>
                  <to>
                    <xdr:col>4</xdr:col>
                    <xdr:colOff>47625</xdr:colOff>
                    <xdr:row>19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0" name="Button 8">
              <controlPr defaultSize="0" print="0" autoFill="0" autoPict="0" macro="[0]!apuntar">
                <anchor moveWithCells="1" sizeWithCells="1">
                  <from>
                    <xdr:col>9</xdr:col>
                    <xdr:colOff>161925</xdr:colOff>
                    <xdr:row>5</xdr:row>
                    <xdr:rowOff>171450</xdr:rowOff>
                  </from>
                  <to>
                    <xdr:col>11</xdr:col>
                    <xdr:colOff>514350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1" name="Button 9">
              <controlPr defaultSize="0" print="0" autoFill="0" autoPict="0" macro="[0]!apunt3">
                <anchor moveWithCells="1" sizeWithCells="1">
                  <from>
                    <xdr:col>12</xdr:col>
                    <xdr:colOff>247650</xdr:colOff>
                    <xdr:row>5</xdr:row>
                    <xdr:rowOff>161925</xdr:rowOff>
                  </from>
                  <to>
                    <xdr:col>14</xdr:col>
                    <xdr:colOff>581025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2" name="Button 12">
              <controlPr defaultSize="0" print="0" autoFill="0" autoPict="0" macro="[0]!Botón12_Haga_clic_en">
                <anchor moveWithCells="1" sizeWithCells="1">
                  <from>
                    <xdr:col>9</xdr:col>
                    <xdr:colOff>733425</xdr:colOff>
                    <xdr:row>12</xdr:row>
                    <xdr:rowOff>19050</xdr:rowOff>
                  </from>
                  <to>
                    <xdr:col>11</xdr:col>
                    <xdr:colOff>666750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3" name="Button 13">
              <controlPr defaultSize="0" print="0" autoFill="0" autoPict="0" macro="[0]!Botón13_Haga_clic_en">
                <anchor moveWithCells="1" sizeWithCells="1">
                  <from>
                    <xdr:col>12</xdr:col>
                    <xdr:colOff>95250</xdr:colOff>
                    <xdr:row>12</xdr:row>
                    <xdr:rowOff>0</xdr:rowOff>
                  </from>
                  <to>
                    <xdr:col>14</xdr:col>
                    <xdr:colOff>28575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4" name="Button 15">
              <controlPr defaultSize="0" print="0" autoFill="0" autoPict="0" macro="[0]!Botón15_Haga_clic_en">
                <anchor moveWithCells="1" sizeWithCells="1">
                  <from>
                    <xdr:col>9</xdr:col>
                    <xdr:colOff>742950</xdr:colOff>
                    <xdr:row>10</xdr:row>
                    <xdr:rowOff>76200</xdr:rowOff>
                  </from>
                  <to>
                    <xdr:col>11</xdr:col>
                    <xdr:colOff>666750</xdr:colOff>
                    <xdr:row>11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5" name="Button 16">
              <controlPr defaultSize="0" print="0" autoFill="0" autoPict="0" macro="[0]!Botón16_Haga_clic_en">
                <anchor moveWithCells="1" sizeWithCells="1">
                  <from>
                    <xdr:col>12</xdr:col>
                    <xdr:colOff>85725</xdr:colOff>
                    <xdr:row>10</xdr:row>
                    <xdr:rowOff>85725</xdr:rowOff>
                  </from>
                  <to>
                    <xdr:col>14</xdr:col>
                    <xdr:colOff>38100</xdr:colOff>
                    <xdr:row>11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A1:AV89"/>
  <sheetViews>
    <sheetView workbookViewId="0">
      <selection activeCell="F12" sqref="F12"/>
    </sheetView>
  </sheetViews>
  <sheetFormatPr baseColWidth="10" defaultRowHeight="15" x14ac:dyDescent="0.25"/>
  <cols>
    <col min="1" max="1" width="49.42578125" bestFit="1" customWidth="1"/>
    <col min="2" max="2" width="8.140625" bestFit="1" customWidth="1"/>
    <col min="3" max="3" width="13.7109375" bestFit="1" customWidth="1"/>
    <col min="4" max="48" width="11.42578125" style="121"/>
  </cols>
  <sheetData>
    <row r="1" spans="1:3" ht="15.75" thickBot="1" x14ac:dyDescent="0.3">
      <c r="A1" s="52" t="s">
        <v>221</v>
      </c>
      <c r="B1" s="52" t="s">
        <v>226</v>
      </c>
      <c r="C1" s="52" t="s">
        <v>401</v>
      </c>
    </row>
    <row r="2" spans="1:3" ht="15.75" thickBot="1" x14ac:dyDescent="0.3">
      <c r="A2" s="15" t="s">
        <v>219</v>
      </c>
      <c r="B2" s="143">
        <v>14.3</v>
      </c>
      <c r="C2" s="143">
        <v>10.1</v>
      </c>
    </row>
    <row r="3" spans="1:3" ht="15.75" thickBot="1" x14ac:dyDescent="0.3">
      <c r="A3" s="15" t="s">
        <v>1</v>
      </c>
      <c r="B3" s="31">
        <v>12.2</v>
      </c>
      <c r="C3" s="31">
        <v>11.6</v>
      </c>
    </row>
    <row r="4" spans="1:3" ht="15.75" thickBot="1" x14ac:dyDescent="0.3">
      <c r="A4" s="15" t="s">
        <v>2</v>
      </c>
      <c r="B4" s="31">
        <v>10.8</v>
      </c>
      <c r="C4" s="31">
        <v>7.1</v>
      </c>
    </row>
    <row r="5" spans="1:3" ht="15.75" thickBot="1" x14ac:dyDescent="0.3">
      <c r="A5" s="15" t="s">
        <v>3</v>
      </c>
      <c r="B5" s="31">
        <v>12.4</v>
      </c>
      <c r="C5" s="31">
        <v>8.8000000000000007</v>
      </c>
    </row>
    <row r="6" spans="1:3" ht="15.75" thickBot="1" x14ac:dyDescent="0.3">
      <c r="A6" s="15" t="s">
        <v>4</v>
      </c>
      <c r="B6" s="31">
        <v>11.9</v>
      </c>
      <c r="C6" s="31">
        <v>9</v>
      </c>
    </row>
    <row r="7" spans="1:3" ht="15.75" thickBot="1" x14ac:dyDescent="0.3">
      <c r="A7" s="15" t="s">
        <v>5</v>
      </c>
      <c r="B7" s="31">
        <v>15.3</v>
      </c>
      <c r="C7" s="31">
        <v>11.4</v>
      </c>
    </row>
    <row r="8" spans="1:3" ht="15.75" thickBot="1" x14ac:dyDescent="0.3">
      <c r="A8" s="15" t="s">
        <v>7</v>
      </c>
      <c r="B8" s="31">
        <v>5.5</v>
      </c>
      <c r="C8" s="31">
        <v>5.4</v>
      </c>
    </row>
    <row r="9" spans="1:3" ht="15.75" thickBot="1" x14ac:dyDescent="0.3">
      <c r="A9" s="15" t="s">
        <v>8</v>
      </c>
      <c r="B9" s="31">
        <v>7.8</v>
      </c>
      <c r="C9" s="31">
        <v>4.7</v>
      </c>
    </row>
    <row r="10" spans="1:3" ht="15.75" thickBot="1" x14ac:dyDescent="0.3">
      <c r="A10" s="38" t="s">
        <v>9</v>
      </c>
      <c r="B10" s="31">
        <v>8.9</v>
      </c>
      <c r="C10" s="31">
        <v>3.7</v>
      </c>
    </row>
    <row r="11" spans="1:3" ht="15.75" thickBot="1" x14ac:dyDescent="0.3">
      <c r="A11" s="15" t="s">
        <v>10</v>
      </c>
      <c r="B11" s="31">
        <v>7.5</v>
      </c>
      <c r="C11" s="31">
        <v>2.7</v>
      </c>
    </row>
    <row r="12" spans="1:3" ht="15.75" thickBot="1" x14ac:dyDescent="0.3">
      <c r="A12" s="15" t="s">
        <v>12</v>
      </c>
      <c r="B12" s="31">
        <v>9.8000000000000007</v>
      </c>
      <c r="C12" s="31">
        <v>6.8</v>
      </c>
    </row>
    <row r="13" spans="1:3" ht="15.75" thickBot="1" x14ac:dyDescent="0.3">
      <c r="A13" s="15" t="s">
        <v>11</v>
      </c>
      <c r="B13" s="31">
        <v>8.1</v>
      </c>
      <c r="C13" s="31">
        <v>4.7</v>
      </c>
    </row>
    <row r="14" spans="1:3" ht="15.75" thickBot="1" x14ac:dyDescent="0.3">
      <c r="A14" s="15" t="s">
        <v>19</v>
      </c>
      <c r="B14" s="31">
        <v>6</v>
      </c>
      <c r="C14" s="31">
        <v>7.1</v>
      </c>
    </row>
    <row r="15" spans="1:3" ht="15.75" thickBot="1" x14ac:dyDescent="0.3">
      <c r="A15" s="15" t="s">
        <v>13</v>
      </c>
      <c r="B15" s="31">
        <v>13.4</v>
      </c>
      <c r="C15" s="31">
        <v>5.4</v>
      </c>
    </row>
    <row r="16" spans="1:3" ht="15.75" thickBot="1" x14ac:dyDescent="0.3">
      <c r="A16" s="15" t="s">
        <v>15</v>
      </c>
      <c r="B16" s="31">
        <v>3.6</v>
      </c>
      <c r="C16" s="31">
        <v>1.7</v>
      </c>
    </row>
    <row r="17" spans="1:3" ht="15.75" thickBot="1" x14ac:dyDescent="0.3">
      <c r="A17" s="15" t="s">
        <v>16</v>
      </c>
      <c r="B17" s="31">
        <v>7.8</v>
      </c>
      <c r="C17" s="31">
        <v>6.1</v>
      </c>
    </row>
    <row r="18" spans="1:3" ht="15.75" thickBot="1" x14ac:dyDescent="0.3">
      <c r="A18" s="15" t="s">
        <v>17</v>
      </c>
      <c r="B18" s="31">
        <v>9</v>
      </c>
      <c r="C18" s="31">
        <v>7</v>
      </c>
    </row>
    <row r="19" spans="1:3" ht="15.75" thickBot="1" x14ac:dyDescent="0.3">
      <c r="A19" s="15" t="s">
        <v>187</v>
      </c>
      <c r="B19" s="31">
        <v>11.3</v>
      </c>
      <c r="C19" s="31">
        <v>10.5</v>
      </c>
    </row>
    <row r="20" spans="1:3" ht="15.75" thickBot="1" x14ac:dyDescent="0.3">
      <c r="A20" s="15" t="s">
        <v>18</v>
      </c>
      <c r="B20" s="31">
        <v>10.9</v>
      </c>
      <c r="C20" s="31">
        <v>5.4</v>
      </c>
    </row>
    <row r="21" spans="1:3" ht="15.75" thickBot="1" x14ac:dyDescent="0.3">
      <c r="A21" s="15" t="s">
        <v>20</v>
      </c>
      <c r="B21" s="31">
        <v>9.1</v>
      </c>
      <c r="C21" s="31">
        <v>6.8</v>
      </c>
    </row>
    <row r="22" spans="1:3" ht="15.75" thickBot="1" x14ac:dyDescent="0.3">
      <c r="A22" s="15" t="s">
        <v>21</v>
      </c>
      <c r="B22" s="31">
        <v>12.6</v>
      </c>
      <c r="C22" s="31">
        <v>6.3</v>
      </c>
    </row>
    <row r="23" spans="1:3" ht="15.75" thickBot="1" x14ac:dyDescent="0.3">
      <c r="A23" s="15" t="s">
        <v>22</v>
      </c>
      <c r="B23" s="31">
        <v>9.9</v>
      </c>
      <c r="C23" s="31">
        <v>8.4</v>
      </c>
    </row>
    <row r="24" spans="1:3" ht="15.75" thickBot="1" x14ac:dyDescent="0.3">
      <c r="A24" s="15" t="s">
        <v>23</v>
      </c>
      <c r="B24" s="31">
        <v>10.8</v>
      </c>
      <c r="C24" s="31">
        <v>7.7</v>
      </c>
    </row>
    <row r="25" spans="1:3" ht="15.75" thickBot="1" x14ac:dyDescent="0.3">
      <c r="A25" s="15" t="s">
        <v>24</v>
      </c>
      <c r="B25" s="31">
        <v>11.6</v>
      </c>
      <c r="C25" s="31">
        <v>8</v>
      </c>
    </row>
    <row r="26" spans="1:3" ht="15.75" thickBot="1" x14ac:dyDescent="0.3">
      <c r="A26" s="15" t="s">
        <v>25</v>
      </c>
      <c r="B26" s="31">
        <v>5.7</v>
      </c>
      <c r="C26" s="31">
        <v>4.4000000000000004</v>
      </c>
    </row>
    <row r="27" spans="1:3" ht="15.75" thickBot="1" x14ac:dyDescent="0.3">
      <c r="A27" s="15" t="s">
        <v>26</v>
      </c>
      <c r="B27" s="31">
        <v>7.8</v>
      </c>
      <c r="C27" s="31">
        <v>5.4</v>
      </c>
    </row>
    <row r="28" spans="1:3" ht="15.75" thickBot="1" x14ac:dyDescent="0.3">
      <c r="A28" s="15" t="s">
        <v>200</v>
      </c>
      <c r="B28" s="31">
        <v>4.9000000000000004</v>
      </c>
      <c r="C28" s="31">
        <v>8.6999999999999993</v>
      </c>
    </row>
    <row r="29" spans="1:3" ht="15.75" thickBot="1" x14ac:dyDescent="0.3">
      <c r="A29" s="15" t="s">
        <v>27</v>
      </c>
      <c r="B29" s="31">
        <v>13.6</v>
      </c>
      <c r="C29" s="31">
        <v>8.3000000000000007</v>
      </c>
    </row>
    <row r="30" spans="1:3" ht="15.75" thickBot="1" x14ac:dyDescent="0.3">
      <c r="A30" s="15" t="s">
        <v>28</v>
      </c>
      <c r="B30" s="31">
        <v>4.5</v>
      </c>
      <c r="C30" s="31">
        <v>6</v>
      </c>
    </row>
    <row r="31" spans="1:3" ht="15.75" thickBot="1" x14ac:dyDescent="0.3">
      <c r="A31" s="15" t="s">
        <v>29</v>
      </c>
      <c r="B31" s="31">
        <v>10.6</v>
      </c>
      <c r="C31" s="31">
        <v>6.4</v>
      </c>
    </row>
    <row r="32" spans="1:3" ht="15.75" thickBot="1" x14ac:dyDescent="0.3">
      <c r="A32" s="15" t="s">
        <v>30</v>
      </c>
      <c r="B32" s="31">
        <v>8.4</v>
      </c>
      <c r="C32" s="31">
        <v>7.2</v>
      </c>
    </row>
    <row r="33" spans="1:3" ht="15.75" thickBot="1" x14ac:dyDescent="0.3">
      <c r="A33" s="15" t="s">
        <v>31</v>
      </c>
      <c r="B33" s="31">
        <v>11.1</v>
      </c>
      <c r="C33" s="31">
        <v>9.4</v>
      </c>
    </row>
    <row r="34" spans="1:3" ht="15.75" thickBot="1" x14ac:dyDescent="0.3">
      <c r="A34" s="15" t="s">
        <v>32</v>
      </c>
      <c r="B34" s="31">
        <v>8.3000000000000007</v>
      </c>
      <c r="C34" s="31">
        <v>3.3</v>
      </c>
    </row>
    <row r="35" spans="1:3" ht="15.75" thickBot="1" x14ac:dyDescent="0.3">
      <c r="A35" s="15" t="s">
        <v>33</v>
      </c>
      <c r="B35" s="31">
        <v>10.9</v>
      </c>
      <c r="C35" s="31">
        <v>8.5</v>
      </c>
    </row>
    <row r="36" spans="1:3" ht="15.75" thickBot="1" x14ac:dyDescent="0.3">
      <c r="A36" s="15" t="s">
        <v>35</v>
      </c>
      <c r="B36" s="31">
        <v>3</v>
      </c>
      <c r="C36" s="31">
        <v>6.4</v>
      </c>
    </row>
    <row r="37" spans="1:3" ht="15.75" thickBot="1" x14ac:dyDescent="0.3">
      <c r="A37" s="15" t="s">
        <v>220</v>
      </c>
      <c r="B37" s="31">
        <v>16.3</v>
      </c>
      <c r="C37" s="31">
        <v>7</v>
      </c>
    </row>
    <row r="38" spans="1:3" ht="15.75" thickBot="1" x14ac:dyDescent="0.3">
      <c r="A38" s="47" t="s">
        <v>0</v>
      </c>
      <c r="B38" s="144">
        <v>10.5</v>
      </c>
      <c r="C38" s="144">
        <v>8.9</v>
      </c>
    </row>
    <row r="39" spans="1:3" s="121" customFormat="1" x14ac:dyDescent="0.25"/>
    <row r="40" spans="1:3" s="121" customFormat="1" x14ac:dyDescent="0.25"/>
    <row r="41" spans="1:3" s="121" customFormat="1" x14ac:dyDescent="0.25"/>
    <row r="42" spans="1:3" s="121" customFormat="1" x14ac:dyDescent="0.25"/>
    <row r="43" spans="1:3" s="121" customFormat="1" ht="93.75" customHeight="1" x14ac:dyDescent="0.25"/>
    <row r="44" spans="1:3" s="121" customFormat="1" x14ac:dyDescent="0.25"/>
    <row r="45" spans="1:3" s="121" customFormat="1" ht="96.75" customHeight="1" x14ac:dyDescent="0.25"/>
    <row r="46" spans="1:3" s="121" customFormat="1" x14ac:dyDescent="0.25"/>
    <row r="47" spans="1:3" s="121" customFormat="1" x14ac:dyDescent="0.25"/>
    <row r="48" spans="1:3" s="121" customFormat="1" x14ac:dyDescent="0.25"/>
    <row r="49" s="121" customFormat="1" x14ac:dyDescent="0.25"/>
    <row r="50" s="121" customFormat="1" x14ac:dyDescent="0.25"/>
    <row r="51" s="121" customFormat="1" x14ac:dyDescent="0.25"/>
    <row r="52" s="121" customFormat="1" x14ac:dyDescent="0.25"/>
    <row r="53" s="121" customFormat="1" x14ac:dyDescent="0.25"/>
    <row r="54" s="121" customFormat="1" x14ac:dyDescent="0.25"/>
    <row r="55" s="121" customFormat="1" x14ac:dyDescent="0.25"/>
    <row r="56" s="121" customFormat="1" x14ac:dyDescent="0.25"/>
    <row r="57" s="121" customFormat="1" x14ac:dyDescent="0.25"/>
    <row r="58" s="121" customFormat="1" x14ac:dyDescent="0.25"/>
    <row r="59" s="121" customFormat="1" x14ac:dyDescent="0.25"/>
    <row r="60" s="121" customFormat="1" x14ac:dyDescent="0.25"/>
    <row r="61" s="121" customFormat="1" x14ac:dyDescent="0.25"/>
    <row r="62" s="121" customFormat="1" x14ac:dyDescent="0.25"/>
    <row r="63" s="121" customFormat="1" x14ac:dyDescent="0.25"/>
    <row r="64" s="121" customFormat="1" x14ac:dyDescent="0.25"/>
    <row r="65" s="121" customFormat="1" x14ac:dyDescent="0.25"/>
    <row r="66" s="121" customFormat="1" x14ac:dyDescent="0.25"/>
    <row r="67" s="121" customFormat="1" x14ac:dyDescent="0.25"/>
    <row r="68" s="121" customFormat="1" x14ac:dyDescent="0.25"/>
    <row r="69" s="121" customFormat="1" x14ac:dyDescent="0.25"/>
    <row r="70" s="121" customFormat="1" x14ac:dyDescent="0.25"/>
    <row r="71" s="121" customFormat="1" x14ac:dyDescent="0.25"/>
    <row r="72" s="121" customFormat="1" x14ac:dyDescent="0.25"/>
    <row r="73" s="121" customFormat="1" x14ac:dyDescent="0.25"/>
    <row r="74" s="121" customFormat="1" x14ac:dyDescent="0.25"/>
    <row r="75" s="121" customFormat="1" x14ac:dyDescent="0.25"/>
    <row r="76" s="121" customFormat="1" x14ac:dyDescent="0.25"/>
    <row r="77" s="121" customFormat="1" x14ac:dyDescent="0.25"/>
    <row r="78" s="121" customFormat="1" x14ac:dyDescent="0.25"/>
    <row r="79" s="121" customFormat="1" x14ac:dyDescent="0.25"/>
    <row r="80" s="121" customFormat="1" x14ac:dyDescent="0.25"/>
    <row r="81" s="121" customFormat="1" x14ac:dyDescent="0.25"/>
    <row r="82" s="121" customFormat="1" x14ac:dyDescent="0.25"/>
    <row r="83" s="121" customFormat="1" x14ac:dyDescent="0.25"/>
    <row r="84" s="121" customFormat="1" x14ac:dyDescent="0.25"/>
    <row r="85" s="121" customFormat="1" x14ac:dyDescent="0.25"/>
    <row r="86" s="121" customFormat="1" x14ac:dyDescent="0.25"/>
    <row r="87" s="121" customFormat="1" x14ac:dyDescent="0.25"/>
    <row r="88" s="121" customFormat="1" x14ac:dyDescent="0.25"/>
    <row r="89" s="121" customForma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8" r:id="rId3" name="Button 2">
              <controlPr defaultSize="0" print="0" autoFill="0" autoPict="0" macro="[0]!Menu">
                <anchor moveWithCells="1">
                  <from>
                    <xdr:col>3</xdr:col>
                    <xdr:colOff>447675</xdr:colOff>
                    <xdr:row>0</xdr:row>
                    <xdr:rowOff>180975</xdr:rowOff>
                  </from>
                  <to>
                    <xdr:col>6</xdr:col>
                    <xdr:colOff>266700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1:G38"/>
  <sheetViews>
    <sheetView workbookViewId="0">
      <selection activeCell="B26" sqref="B26"/>
    </sheetView>
  </sheetViews>
  <sheetFormatPr baseColWidth="10" defaultRowHeight="15" x14ac:dyDescent="0.25"/>
  <cols>
    <col min="1" max="1" width="49.42578125" style="121" bestFit="1" customWidth="1"/>
    <col min="2" max="2" width="19.42578125" style="121" bestFit="1" customWidth="1"/>
    <col min="3" max="3" width="11.42578125" style="121"/>
    <col min="4" max="4" width="17.7109375" style="121" bestFit="1" customWidth="1"/>
    <col min="5" max="16384" width="11.42578125" style="121"/>
  </cols>
  <sheetData>
    <row r="1" spans="1:7" ht="15.75" thickBot="1" x14ac:dyDescent="0.3">
      <c r="A1" s="106" t="s">
        <v>221</v>
      </c>
      <c r="B1" s="80" t="s">
        <v>215</v>
      </c>
    </row>
    <row r="2" spans="1:7" ht="15.75" thickBot="1" x14ac:dyDescent="0.3">
      <c r="A2" s="15" t="s">
        <v>219</v>
      </c>
      <c r="B2" s="22">
        <v>10</v>
      </c>
      <c r="D2" s="122"/>
      <c r="G2" s="122"/>
    </row>
    <row r="3" spans="1:7" ht="15.75" thickBot="1" x14ac:dyDescent="0.3">
      <c r="A3" s="15" t="s">
        <v>1</v>
      </c>
      <c r="B3" s="22">
        <v>76</v>
      </c>
      <c r="D3" s="122"/>
    </row>
    <row r="4" spans="1:7" ht="15.75" thickBot="1" x14ac:dyDescent="0.3">
      <c r="A4" s="15" t="s">
        <v>2</v>
      </c>
      <c r="B4" s="22">
        <v>2604</v>
      </c>
      <c r="D4" s="122"/>
    </row>
    <row r="5" spans="1:7" ht="15.75" thickBot="1" x14ac:dyDescent="0.3">
      <c r="A5" s="15" t="s">
        <v>3</v>
      </c>
      <c r="B5" s="22">
        <v>1270</v>
      </c>
      <c r="D5" s="122"/>
    </row>
    <row r="6" spans="1:7" ht="15.75" thickBot="1" x14ac:dyDescent="0.3">
      <c r="A6" s="15" t="s">
        <v>4</v>
      </c>
      <c r="B6" s="22">
        <v>1309</v>
      </c>
      <c r="D6" s="122"/>
    </row>
    <row r="7" spans="1:7" ht="15.75" thickBot="1" x14ac:dyDescent="0.3">
      <c r="A7" s="15" t="s">
        <v>5</v>
      </c>
      <c r="B7" s="22">
        <v>3193</v>
      </c>
      <c r="D7" s="122"/>
    </row>
    <row r="8" spans="1:7" ht="15.75" thickBot="1" x14ac:dyDescent="0.3">
      <c r="A8" s="15" t="s">
        <v>7</v>
      </c>
      <c r="B8" s="22">
        <v>330</v>
      </c>
      <c r="D8" s="122"/>
    </row>
    <row r="9" spans="1:7" ht="15" customHeight="1" thickBot="1" x14ac:dyDescent="0.3">
      <c r="A9" s="15" t="s">
        <v>8</v>
      </c>
      <c r="B9" s="22">
        <v>43</v>
      </c>
      <c r="D9" s="122"/>
    </row>
    <row r="10" spans="1:7" ht="15" customHeight="1" thickBot="1" x14ac:dyDescent="0.3">
      <c r="A10" s="38" t="s">
        <v>9</v>
      </c>
      <c r="B10" s="22">
        <v>6</v>
      </c>
      <c r="D10" s="122"/>
    </row>
    <row r="11" spans="1:7" ht="15.75" thickBot="1" x14ac:dyDescent="0.3">
      <c r="A11" s="15" t="s">
        <v>10</v>
      </c>
      <c r="B11" s="22">
        <v>102</v>
      </c>
      <c r="D11" s="122"/>
    </row>
    <row r="12" spans="1:7" ht="15.75" thickBot="1" x14ac:dyDescent="0.3">
      <c r="A12" s="15" t="s">
        <v>12</v>
      </c>
      <c r="B12" s="22">
        <v>11122</v>
      </c>
      <c r="D12" s="122"/>
    </row>
    <row r="13" spans="1:7" ht="15.75" thickBot="1" x14ac:dyDescent="0.3">
      <c r="A13" s="15" t="s">
        <v>11</v>
      </c>
      <c r="B13" s="22">
        <v>10732</v>
      </c>
      <c r="D13" s="122"/>
    </row>
    <row r="14" spans="1:7" ht="15.75" thickBot="1" x14ac:dyDescent="0.3">
      <c r="A14" s="15" t="s">
        <v>19</v>
      </c>
      <c r="B14" s="22">
        <v>1006</v>
      </c>
      <c r="D14" s="122"/>
    </row>
    <row r="15" spans="1:7" ht="15.75" thickBot="1" x14ac:dyDescent="0.3">
      <c r="A15" s="15" t="s">
        <v>13</v>
      </c>
      <c r="B15" s="22">
        <v>2390.5</v>
      </c>
      <c r="D15" s="122"/>
    </row>
    <row r="16" spans="1:7" ht="15.75" thickBot="1" x14ac:dyDescent="0.3">
      <c r="A16" s="15" t="s">
        <v>15</v>
      </c>
      <c r="B16" s="22">
        <v>813</v>
      </c>
      <c r="D16" s="122"/>
    </row>
    <row r="17" spans="1:4" ht="15.75" thickBot="1" x14ac:dyDescent="0.3">
      <c r="A17" s="15" t="s">
        <v>16</v>
      </c>
      <c r="B17" s="22">
        <v>1</v>
      </c>
      <c r="D17" s="122"/>
    </row>
    <row r="18" spans="1:4" ht="15.75" thickBot="1" x14ac:dyDescent="0.3">
      <c r="A18" s="15" t="s">
        <v>17</v>
      </c>
      <c r="B18" s="22">
        <v>178</v>
      </c>
      <c r="D18" s="122"/>
    </row>
    <row r="19" spans="1:4" ht="15.75" thickBot="1" x14ac:dyDescent="0.3">
      <c r="A19" s="15" t="s">
        <v>187</v>
      </c>
      <c r="B19" s="22">
        <v>8</v>
      </c>
      <c r="D19" s="122"/>
    </row>
    <row r="20" spans="1:4" ht="15.75" thickBot="1" x14ac:dyDescent="0.3">
      <c r="A20" s="15" t="s">
        <v>18</v>
      </c>
      <c r="B20" s="22">
        <v>230</v>
      </c>
      <c r="D20" s="122"/>
    </row>
    <row r="21" spans="1:4" ht="15.75" thickBot="1" x14ac:dyDescent="0.3">
      <c r="A21" s="15" t="s">
        <v>20</v>
      </c>
      <c r="B21" s="22">
        <v>5692</v>
      </c>
      <c r="D21" s="122"/>
    </row>
    <row r="22" spans="1:4" ht="15.75" thickBot="1" x14ac:dyDescent="0.3">
      <c r="A22" s="15" t="s">
        <v>21</v>
      </c>
      <c r="B22" s="22">
        <v>45760</v>
      </c>
      <c r="D22" s="122"/>
    </row>
    <row r="23" spans="1:4" ht="15.75" thickBot="1" x14ac:dyDescent="0.3">
      <c r="A23" s="15" t="s">
        <v>22</v>
      </c>
      <c r="B23" s="22">
        <v>16493</v>
      </c>
      <c r="D23" s="122"/>
    </row>
    <row r="24" spans="1:4" ht="15.75" thickBot="1" x14ac:dyDescent="0.3">
      <c r="A24" s="15" t="s">
        <v>23</v>
      </c>
      <c r="B24" s="22">
        <v>465</v>
      </c>
      <c r="D24" s="122"/>
    </row>
    <row r="25" spans="1:4" ht="15.75" thickBot="1" x14ac:dyDescent="0.3">
      <c r="A25" s="15" t="s">
        <v>24</v>
      </c>
      <c r="B25" s="22">
        <v>203</v>
      </c>
      <c r="D25" s="122"/>
    </row>
    <row r="26" spans="1:4" ht="15.75" thickBot="1" x14ac:dyDescent="0.3">
      <c r="A26" s="15" t="s">
        <v>25</v>
      </c>
      <c r="B26" s="122">
        <v>7673</v>
      </c>
    </row>
    <row r="27" spans="1:4" ht="15.75" thickBot="1" x14ac:dyDescent="0.3">
      <c r="A27" s="15" t="s">
        <v>26</v>
      </c>
      <c r="B27" s="22">
        <v>5360</v>
      </c>
      <c r="D27" s="122"/>
    </row>
    <row r="28" spans="1:4" ht="15.75" thickBot="1" x14ac:dyDescent="0.3">
      <c r="A28" s="15" t="s">
        <v>200</v>
      </c>
      <c r="B28" s="22">
        <v>9216</v>
      </c>
      <c r="D28" s="122"/>
    </row>
    <row r="29" spans="1:4" ht="15.75" thickBot="1" x14ac:dyDescent="0.3">
      <c r="A29" s="15" t="s">
        <v>27</v>
      </c>
      <c r="B29" s="22">
        <v>8855</v>
      </c>
      <c r="D29" s="122"/>
    </row>
    <row r="30" spans="1:4" ht="15.75" thickBot="1" x14ac:dyDescent="0.3">
      <c r="A30" s="15" t="s">
        <v>28</v>
      </c>
      <c r="B30" s="22">
        <v>2460</v>
      </c>
      <c r="D30" s="122"/>
    </row>
    <row r="31" spans="1:4" ht="15.75" thickBot="1" x14ac:dyDescent="0.3">
      <c r="A31" s="15" t="s">
        <v>29</v>
      </c>
      <c r="B31" s="22">
        <v>7902</v>
      </c>
      <c r="D31" s="122"/>
    </row>
    <row r="32" spans="1:4" ht="15.75" thickBot="1" x14ac:dyDescent="0.3">
      <c r="A32" s="15" t="s">
        <v>30</v>
      </c>
      <c r="B32" s="22">
        <v>37140</v>
      </c>
      <c r="D32" s="122"/>
    </row>
    <row r="33" spans="1:4" ht="15.75" thickBot="1" x14ac:dyDescent="0.3">
      <c r="A33" s="15" t="s">
        <v>31</v>
      </c>
      <c r="B33" s="22">
        <v>140327</v>
      </c>
      <c r="D33" s="122"/>
    </row>
    <row r="34" spans="1:4" ht="15.75" thickBot="1" x14ac:dyDescent="0.3">
      <c r="A34" s="15" t="s">
        <v>32</v>
      </c>
      <c r="B34" s="22">
        <v>2350</v>
      </c>
      <c r="D34" s="122"/>
    </row>
    <row r="35" spans="1:4" ht="15.75" thickBot="1" x14ac:dyDescent="0.3">
      <c r="A35" s="15" t="s">
        <v>33</v>
      </c>
      <c r="B35" s="22">
        <v>120</v>
      </c>
      <c r="D35" s="122"/>
    </row>
    <row r="36" spans="1:4" ht="15.75" thickBot="1" x14ac:dyDescent="0.3">
      <c r="A36" s="15" t="s">
        <v>35</v>
      </c>
      <c r="B36" s="22">
        <v>2092</v>
      </c>
      <c r="D36" s="122"/>
    </row>
    <row r="37" spans="1:4" ht="15.75" thickBot="1" x14ac:dyDescent="0.3">
      <c r="A37" s="15" t="s">
        <v>220</v>
      </c>
      <c r="B37" s="22">
        <v>99894</v>
      </c>
      <c r="D37" s="122"/>
    </row>
    <row r="38" spans="1:4" ht="15.75" thickBot="1" x14ac:dyDescent="0.3">
      <c r="A38" s="47" t="s">
        <v>0</v>
      </c>
      <c r="B38" s="18">
        <v>13928</v>
      </c>
      <c r="D38" s="12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3" name="Button 2">
              <controlPr defaultSize="0" print="0" autoFill="0" autoPict="0" macro="[0]!Menu">
                <anchor moveWithCells="1">
                  <from>
                    <xdr:col>2</xdr:col>
                    <xdr:colOff>504825</xdr:colOff>
                    <xdr:row>0</xdr:row>
                    <xdr:rowOff>180975</xdr:rowOff>
                  </from>
                  <to>
                    <xdr:col>4</xdr:col>
                    <xdr:colOff>666750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A1:G38"/>
  <sheetViews>
    <sheetView workbookViewId="0">
      <selection activeCell="B26" sqref="B26"/>
    </sheetView>
  </sheetViews>
  <sheetFormatPr baseColWidth="10" defaultRowHeight="15" x14ac:dyDescent="0.25"/>
  <cols>
    <col min="1" max="1" width="49.42578125" style="121" bestFit="1" customWidth="1"/>
    <col min="2" max="2" width="19.42578125" style="121" bestFit="1" customWidth="1"/>
    <col min="3" max="3" width="11.42578125" style="121"/>
    <col min="4" max="4" width="17.7109375" style="121" bestFit="1" customWidth="1"/>
    <col min="5" max="16384" width="11.42578125" style="121"/>
  </cols>
  <sheetData>
    <row r="1" spans="1:7" ht="15.75" thickBot="1" x14ac:dyDescent="0.3">
      <c r="A1" s="79" t="s">
        <v>221</v>
      </c>
      <c r="B1" s="80" t="s">
        <v>213</v>
      </c>
    </row>
    <row r="2" spans="1:7" ht="15.75" thickBot="1" x14ac:dyDescent="0.3">
      <c r="A2" s="15" t="s">
        <v>219</v>
      </c>
      <c r="B2" s="20">
        <v>40400</v>
      </c>
      <c r="D2" s="122"/>
      <c r="G2" s="122"/>
    </row>
    <row r="3" spans="1:7" ht="15.75" thickBot="1" x14ac:dyDescent="0.3">
      <c r="A3" s="15" t="s">
        <v>1</v>
      </c>
      <c r="B3" s="22">
        <v>368</v>
      </c>
      <c r="D3" s="122"/>
    </row>
    <row r="4" spans="1:7" ht="15.75" thickBot="1" x14ac:dyDescent="0.3">
      <c r="A4" s="15" t="s">
        <v>2</v>
      </c>
      <c r="B4" s="22">
        <v>5530</v>
      </c>
      <c r="D4" s="122"/>
    </row>
    <row r="5" spans="1:7" ht="15.75" thickBot="1" x14ac:dyDescent="0.3">
      <c r="A5" s="15" t="s">
        <v>3</v>
      </c>
      <c r="B5" s="22">
        <v>2860</v>
      </c>
      <c r="D5" s="122"/>
    </row>
    <row r="6" spans="1:7" ht="15.75" thickBot="1" x14ac:dyDescent="0.3">
      <c r="A6" s="15" t="s">
        <v>4</v>
      </c>
      <c r="B6" s="22">
        <v>33100</v>
      </c>
      <c r="D6" s="122"/>
    </row>
    <row r="7" spans="1:7" ht="15.75" thickBot="1" x14ac:dyDescent="0.3">
      <c r="A7" s="15" t="s">
        <v>5</v>
      </c>
      <c r="B7" s="22">
        <v>11600</v>
      </c>
      <c r="D7" s="122"/>
    </row>
    <row r="8" spans="1:7" ht="15.75" thickBot="1" x14ac:dyDescent="0.3">
      <c r="A8" s="15" t="s">
        <v>7</v>
      </c>
      <c r="B8" s="22">
        <v>7380</v>
      </c>
      <c r="D8" s="122"/>
    </row>
    <row r="9" spans="1:7" ht="15.75" thickBot="1" x14ac:dyDescent="0.3">
      <c r="A9" s="15" t="s">
        <v>8</v>
      </c>
      <c r="B9" s="22">
        <v>492</v>
      </c>
      <c r="D9" s="122"/>
    </row>
    <row r="10" spans="1:7" ht="15.75" thickBot="1" x14ac:dyDescent="0.3">
      <c r="A10" s="38" t="s">
        <v>9</v>
      </c>
      <c r="B10" s="22">
        <v>693</v>
      </c>
      <c r="D10" s="122"/>
    </row>
    <row r="11" spans="1:7" ht="15.75" thickBot="1" x14ac:dyDescent="0.3">
      <c r="A11" s="15" t="s">
        <v>10</v>
      </c>
      <c r="B11" s="22">
        <v>48200</v>
      </c>
      <c r="D11" s="122"/>
    </row>
    <row r="12" spans="1:7" ht="15.75" thickBot="1" x14ac:dyDescent="0.3">
      <c r="A12" s="15" t="s">
        <v>12</v>
      </c>
      <c r="B12" s="22">
        <v>5330</v>
      </c>
      <c r="D12" s="122"/>
    </row>
    <row r="13" spans="1:7" ht="15.75" thickBot="1" x14ac:dyDescent="0.3">
      <c r="A13" s="15" t="s">
        <v>11</v>
      </c>
      <c r="B13" s="22">
        <v>53200000</v>
      </c>
      <c r="D13" s="122"/>
    </row>
    <row r="14" spans="1:7" ht="15.75" thickBot="1" x14ac:dyDescent="0.3">
      <c r="A14" s="15" t="s">
        <v>19</v>
      </c>
      <c r="B14" s="22">
        <v>157000</v>
      </c>
      <c r="D14" s="122"/>
    </row>
    <row r="15" spans="1:7" ht="15.75" thickBot="1" x14ac:dyDescent="0.3">
      <c r="A15" s="15" t="s">
        <v>13</v>
      </c>
      <c r="B15" s="22">
        <v>137000</v>
      </c>
      <c r="D15" s="122"/>
    </row>
    <row r="16" spans="1:7" ht="15.75" thickBot="1" x14ac:dyDescent="0.3">
      <c r="A16" s="15" t="s">
        <v>15</v>
      </c>
      <c r="B16" s="22">
        <v>61300</v>
      </c>
      <c r="D16" s="122"/>
    </row>
    <row r="17" spans="1:4" ht="15.75" thickBot="1" x14ac:dyDescent="0.3">
      <c r="A17" s="15" t="s">
        <v>16</v>
      </c>
      <c r="B17" s="22">
        <v>142000</v>
      </c>
      <c r="D17" s="122"/>
    </row>
    <row r="18" spans="1:4" ht="15.75" thickBot="1" x14ac:dyDescent="0.3">
      <c r="A18" s="15" t="s">
        <v>17</v>
      </c>
      <c r="B18" s="22">
        <v>852</v>
      </c>
      <c r="D18" s="122"/>
    </row>
    <row r="19" spans="1:4" ht="15.75" thickBot="1" x14ac:dyDescent="0.3">
      <c r="A19" s="15" t="s">
        <v>187</v>
      </c>
      <c r="B19" s="22">
        <v>4580</v>
      </c>
      <c r="D19" s="122"/>
    </row>
    <row r="20" spans="1:4" ht="15.75" thickBot="1" x14ac:dyDescent="0.3">
      <c r="A20" s="15" t="s">
        <v>18</v>
      </c>
      <c r="B20" s="22">
        <v>5840</v>
      </c>
      <c r="D20" s="122"/>
    </row>
    <row r="21" spans="1:4" ht="15.75" thickBot="1" x14ac:dyDescent="0.3">
      <c r="A21" s="15" t="s">
        <v>20</v>
      </c>
      <c r="B21" s="22">
        <v>16300</v>
      </c>
      <c r="D21" s="122"/>
    </row>
    <row r="22" spans="1:4" ht="15.75" thickBot="1" x14ac:dyDescent="0.3">
      <c r="A22" s="15" t="s">
        <v>21</v>
      </c>
      <c r="B22" s="22">
        <v>1170</v>
      </c>
      <c r="D22" s="122"/>
    </row>
    <row r="23" spans="1:4" ht="15.75" thickBot="1" x14ac:dyDescent="0.3">
      <c r="A23" s="15" t="s">
        <v>22</v>
      </c>
      <c r="B23" s="22">
        <v>140000</v>
      </c>
      <c r="D23" s="122"/>
    </row>
    <row r="24" spans="1:4" ht="15.75" thickBot="1" x14ac:dyDescent="0.3">
      <c r="A24" s="15" t="s">
        <v>23</v>
      </c>
      <c r="B24" s="22">
        <v>19200</v>
      </c>
      <c r="D24" s="122"/>
    </row>
    <row r="25" spans="1:4" ht="15.75" thickBot="1" x14ac:dyDescent="0.3">
      <c r="A25" s="15" t="s">
        <v>24</v>
      </c>
      <c r="B25" s="22">
        <v>9720</v>
      </c>
      <c r="D25" s="122"/>
    </row>
    <row r="26" spans="1:4" ht="15.75" thickBot="1" x14ac:dyDescent="0.3">
      <c r="A26" s="15" t="s">
        <v>25</v>
      </c>
      <c r="B26" s="22">
        <v>1360000</v>
      </c>
    </row>
    <row r="27" spans="1:4" ht="15.75" thickBot="1" x14ac:dyDescent="0.3">
      <c r="A27" s="15" t="s">
        <v>26</v>
      </c>
      <c r="B27" s="22">
        <v>15400</v>
      </c>
      <c r="D27" s="122"/>
    </row>
    <row r="28" spans="1:4" ht="15.75" thickBot="1" x14ac:dyDescent="0.3">
      <c r="A28" s="15" t="s">
        <v>200</v>
      </c>
      <c r="B28" s="22">
        <v>3200</v>
      </c>
      <c r="D28" s="122"/>
    </row>
    <row r="29" spans="1:4" ht="15.75" thickBot="1" x14ac:dyDescent="0.3">
      <c r="A29" s="15" t="s">
        <v>27</v>
      </c>
      <c r="B29" s="22">
        <v>53300</v>
      </c>
      <c r="D29" s="122"/>
    </row>
    <row r="30" spans="1:4" ht="15.75" thickBot="1" x14ac:dyDescent="0.3">
      <c r="A30" s="15" t="s">
        <v>28</v>
      </c>
      <c r="B30" s="22">
        <v>10300</v>
      </c>
      <c r="D30" s="122"/>
    </row>
    <row r="31" spans="1:4" ht="15.75" thickBot="1" x14ac:dyDescent="0.3">
      <c r="A31" s="15" t="s">
        <v>29</v>
      </c>
      <c r="B31" s="22">
        <v>2200</v>
      </c>
      <c r="D31" s="122"/>
    </row>
    <row r="32" spans="1:4" ht="15.75" thickBot="1" x14ac:dyDescent="0.3">
      <c r="A32" s="15" t="s">
        <v>30</v>
      </c>
      <c r="B32" s="22">
        <v>32400</v>
      </c>
      <c r="D32" s="122"/>
    </row>
    <row r="33" spans="1:4" ht="15.75" thickBot="1" x14ac:dyDescent="0.3">
      <c r="A33" s="15" t="s">
        <v>31</v>
      </c>
      <c r="B33" s="22">
        <v>13900</v>
      </c>
      <c r="D33" s="122"/>
    </row>
    <row r="34" spans="1:4" ht="15.75" thickBot="1" x14ac:dyDescent="0.3">
      <c r="A34" s="15" t="s">
        <v>32</v>
      </c>
      <c r="B34" s="22">
        <v>5720</v>
      </c>
      <c r="D34" s="122"/>
    </row>
    <row r="35" spans="1:4" ht="15.75" thickBot="1" x14ac:dyDescent="0.3">
      <c r="A35" s="15" t="s">
        <v>33</v>
      </c>
      <c r="B35" s="22">
        <v>412</v>
      </c>
      <c r="D35" s="122"/>
    </row>
    <row r="36" spans="1:4" ht="15.75" thickBot="1" x14ac:dyDescent="0.3">
      <c r="A36" s="15" t="s">
        <v>35</v>
      </c>
      <c r="B36" s="22">
        <v>4620</v>
      </c>
      <c r="D36" s="122"/>
    </row>
    <row r="37" spans="1:4" ht="15.75" thickBot="1" x14ac:dyDescent="0.3">
      <c r="A37" s="15" t="s">
        <v>220</v>
      </c>
      <c r="B37" s="20">
        <v>77000</v>
      </c>
      <c r="D37" s="122"/>
    </row>
    <row r="38" spans="1:4" ht="15.75" thickBot="1" x14ac:dyDescent="0.3">
      <c r="A38" s="47" t="s">
        <v>0</v>
      </c>
      <c r="B38" s="19">
        <v>66300</v>
      </c>
      <c r="D38" s="12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3" name="Button 3">
              <controlPr defaultSize="0" print="0" autoFill="0" autoPict="0" macro="[0]!Menu">
                <anchor moveWithCells="1">
                  <from>
                    <xdr:col>2</xdr:col>
                    <xdr:colOff>571500</xdr:colOff>
                    <xdr:row>1</xdr:row>
                    <xdr:rowOff>47625</xdr:rowOff>
                  </from>
                  <to>
                    <xdr:col>4</xdr:col>
                    <xdr:colOff>733425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A1:G38"/>
  <sheetViews>
    <sheetView workbookViewId="0">
      <selection activeCell="D7" sqref="D7"/>
    </sheetView>
  </sheetViews>
  <sheetFormatPr baseColWidth="10" defaultRowHeight="15" x14ac:dyDescent="0.25"/>
  <cols>
    <col min="1" max="1" width="49.42578125" style="121" bestFit="1" customWidth="1"/>
    <col min="2" max="2" width="22.7109375" style="121" bestFit="1" customWidth="1"/>
    <col min="3" max="3" width="11.42578125" style="121"/>
    <col min="4" max="4" width="17.7109375" style="121" bestFit="1" customWidth="1"/>
    <col min="5" max="16384" width="11.42578125" style="121"/>
  </cols>
  <sheetData>
    <row r="1" spans="1:7" ht="15.75" thickBot="1" x14ac:dyDescent="0.3">
      <c r="A1" s="106" t="s">
        <v>221</v>
      </c>
      <c r="B1" s="80" t="s">
        <v>355</v>
      </c>
    </row>
    <row r="2" spans="1:7" ht="15.75" thickBot="1" x14ac:dyDescent="0.3">
      <c r="A2" s="15" t="s">
        <v>219</v>
      </c>
      <c r="B2" s="50">
        <v>0.63903846153846133</v>
      </c>
      <c r="D2" s="122"/>
      <c r="G2" s="122"/>
    </row>
    <row r="3" spans="1:7" ht="15.75" thickBot="1" x14ac:dyDescent="0.3">
      <c r="A3" s="15" t="s">
        <v>1</v>
      </c>
      <c r="B3" s="50">
        <v>48.083333333333336</v>
      </c>
      <c r="D3" s="122"/>
    </row>
    <row r="4" spans="1:7" ht="15.75" thickBot="1" x14ac:dyDescent="0.3">
      <c r="A4" s="15" t="s">
        <v>2</v>
      </c>
      <c r="B4" s="50">
        <v>6.0192307692307692</v>
      </c>
      <c r="D4" s="122"/>
    </row>
    <row r="5" spans="1:7" ht="15.75" thickBot="1" x14ac:dyDescent="0.3">
      <c r="A5" s="15" t="s">
        <v>3</v>
      </c>
      <c r="B5" s="50">
        <v>53.96153846153846</v>
      </c>
      <c r="D5" s="122"/>
    </row>
    <row r="6" spans="1:7" ht="15.75" thickBot="1" x14ac:dyDescent="0.3">
      <c r="A6" s="15" t="s">
        <v>4</v>
      </c>
      <c r="B6" s="50">
        <v>23.23076923076923</v>
      </c>
      <c r="D6" s="122"/>
    </row>
    <row r="7" spans="1:7" ht="15.75" thickBot="1" x14ac:dyDescent="0.3">
      <c r="A7" s="15" t="s">
        <v>5</v>
      </c>
      <c r="B7" s="50">
        <v>26.557692307692307</v>
      </c>
      <c r="D7" s="122"/>
    </row>
    <row r="8" spans="1:7" ht="15.75" thickBot="1" x14ac:dyDescent="0.3">
      <c r="A8" s="15" t="s">
        <v>7</v>
      </c>
      <c r="B8" s="50">
        <v>5.083333333333333</v>
      </c>
      <c r="D8" s="122"/>
    </row>
    <row r="9" spans="1:7" ht="15.75" thickBot="1" x14ac:dyDescent="0.3">
      <c r="A9" s="15" t="s">
        <v>8</v>
      </c>
      <c r="B9" s="50">
        <v>39.75</v>
      </c>
      <c r="D9" s="122"/>
    </row>
    <row r="10" spans="1:7" ht="15.75" thickBot="1" x14ac:dyDescent="0.3">
      <c r="A10" s="38" t="s">
        <v>9</v>
      </c>
      <c r="B10" s="50">
        <v>27.833333333333332</v>
      </c>
      <c r="D10" s="122"/>
    </row>
    <row r="11" spans="1:7" ht="15.75" thickBot="1" x14ac:dyDescent="0.3">
      <c r="A11" s="15" t="s">
        <v>10</v>
      </c>
      <c r="B11" s="50">
        <v>34.269230769230766</v>
      </c>
      <c r="D11" s="122"/>
    </row>
    <row r="12" spans="1:7" ht="15.75" thickBot="1" x14ac:dyDescent="0.3">
      <c r="A12" s="15" t="s">
        <v>12</v>
      </c>
      <c r="B12" s="50">
        <v>26</v>
      </c>
      <c r="D12" s="122"/>
    </row>
    <row r="13" spans="1:7" ht="15.75" thickBot="1" x14ac:dyDescent="0.3">
      <c r="A13" s="15" t="s">
        <v>11</v>
      </c>
      <c r="B13" s="50">
        <v>37.192307692307693</v>
      </c>
      <c r="D13" s="122"/>
    </row>
    <row r="14" spans="1:7" ht="15.75" thickBot="1" x14ac:dyDescent="0.3">
      <c r="A14" s="15" t="s">
        <v>19</v>
      </c>
      <c r="B14" s="50">
        <v>14.634615384615385</v>
      </c>
      <c r="D14" s="122"/>
    </row>
    <row r="15" spans="1:7" ht="15.75" thickBot="1" x14ac:dyDescent="0.3">
      <c r="A15" s="15" t="s">
        <v>13</v>
      </c>
      <c r="B15" s="50">
        <v>44.865384615384613</v>
      </c>
      <c r="D15" s="122"/>
    </row>
    <row r="16" spans="1:7" ht="15.75" thickBot="1" x14ac:dyDescent="0.3">
      <c r="A16" s="15" t="s">
        <v>15</v>
      </c>
      <c r="B16" s="50">
        <v>45.71153846153846</v>
      </c>
      <c r="D16" s="122"/>
    </row>
    <row r="17" spans="1:4" ht="15.75" thickBot="1" x14ac:dyDescent="0.3">
      <c r="A17" s="15" t="s">
        <v>16</v>
      </c>
      <c r="B17" s="50">
        <v>13.666666666666666</v>
      </c>
      <c r="D17" s="122"/>
    </row>
    <row r="18" spans="1:4" ht="15.75" thickBot="1" x14ac:dyDescent="0.3">
      <c r="A18" s="15" t="s">
        <v>17</v>
      </c>
      <c r="B18" s="50">
        <v>15.166666666666666</v>
      </c>
      <c r="D18" s="122"/>
    </row>
    <row r="19" spans="1:4" ht="15.75" thickBot="1" x14ac:dyDescent="0.3">
      <c r="A19" s="15" t="s">
        <v>187</v>
      </c>
      <c r="B19" s="50">
        <v>7.75</v>
      </c>
      <c r="D19" s="122"/>
    </row>
    <row r="20" spans="1:4" ht="15.75" thickBot="1" x14ac:dyDescent="0.3">
      <c r="A20" s="15" t="s">
        <v>18</v>
      </c>
      <c r="B20" s="50">
        <v>36</v>
      </c>
      <c r="D20" s="122"/>
    </row>
    <row r="21" spans="1:4" ht="15.75" thickBot="1" x14ac:dyDescent="0.3">
      <c r="A21" s="15" t="s">
        <v>20</v>
      </c>
      <c r="B21" s="50">
        <v>20.884615384615383</v>
      </c>
      <c r="D21" s="122"/>
    </row>
    <row r="22" spans="1:4" ht="15.75" thickBot="1" x14ac:dyDescent="0.3">
      <c r="A22" s="15" t="s">
        <v>21</v>
      </c>
      <c r="B22" s="50">
        <v>18.5</v>
      </c>
      <c r="D22" s="122"/>
    </row>
    <row r="23" spans="1:4" ht="15.75" thickBot="1" x14ac:dyDescent="0.3">
      <c r="A23" s="15" t="s">
        <v>22</v>
      </c>
      <c r="B23" s="50">
        <v>42.519230769230766</v>
      </c>
      <c r="D23" s="122"/>
    </row>
    <row r="24" spans="1:4" ht="15.75" thickBot="1" x14ac:dyDescent="0.3">
      <c r="A24" s="15" t="s">
        <v>23</v>
      </c>
      <c r="B24" s="50">
        <v>66.36363636363636</v>
      </c>
      <c r="D24" s="122"/>
    </row>
    <row r="25" spans="1:4" ht="15.75" thickBot="1" x14ac:dyDescent="0.3">
      <c r="A25" s="15" t="s">
        <v>24</v>
      </c>
      <c r="B25" s="50">
        <v>34.980769230769234</v>
      </c>
      <c r="D25" s="122"/>
    </row>
    <row r="26" spans="1:4" ht="15.75" thickBot="1" x14ac:dyDescent="0.3">
      <c r="A26" s="15" t="s">
        <v>25</v>
      </c>
      <c r="B26" s="50">
        <v>45.5</v>
      </c>
      <c r="D26" s="122"/>
    </row>
    <row r="27" spans="1:4" ht="15.75" thickBot="1" x14ac:dyDescent="0.3">
      <c r="A27" s="15" t="s">
        <v>26</v>
      </c>
      <c r="B27" s="50">
        <v>36.865384615384613</v>
      </c>
      <c r="D27" s="122"/>
    </row>
    <row r="28" spans="1:4" ht="15.75" thickBot="1" x14ac:dyDescent="0.3">
      <c r="A28" s="15" t="s">
        <v>200</v>
      </c>
      <c r="B28" s="50">
        <v>22.403846153846153</v>
      </c>
      <c r="D28" s="122"/>
    </row>
    <row r="29" spans="1:4" ht="15.75" thickBot="1" x14ac:dyDescent="0.3">
      <c r="A29" s="15" t="s">
        <v>27</v>
      </c>
      <c r="B29" s="50">
        <v>50</v>
      </c>
      <c r="D29" s="122"/>
    </row>
    <row r="30" spans="1:4" ht="15.75" thickBot="1" x14ac:dyDescent="0.3">
      <c r="A30" s="15" t="s">
        <v>28</v>
      </c>
      <c r="B30" s="50">
        <v>19.365384615384617</v>
      </c>
      <c r="D30" s="122"/>
    </row>
    <row r="31" spans="1:4" ht="15.75" thickBot="1" x14ac:dyDescent="0.3">
      <c r="A31" s="15" t="s">
        <v>29</v>
      </c>
      <c r="B31" s="50">
        <v>44.019230769230766</v>
      </c>
      <c r="D31" s="122"/>
    </row>
    <row r="32" spans="1:4" ht="15.75" thickBot="1" x14ac:dyDescent="0.3">
      <c r="A32" s="15" t="s">
        <v>30</v>
      </c>
      <c r="B32" s="50">
        <v>43.346153846153847</v>
      </c>
      <c r="D32" s="122"/>
    </row>
    <row r="33" spans="1:4" ht="15.75" thickBot="1" x14ac:dyDescent="0.3">
      <c r="A33" s="15" t="s">
        <v>31</v>
      </c>
      <c r="B33" s="50">
        <v>38.46153846153846</v>
      </c>
      <c r="D33" s="122"/>
    </row>
    <row r="34" spans="1:4" ht="15.75" thickBot="1" x14ac:dyDescent="0.3">
      <c r="A34" s="15" t="s">
        <v>32</v>
      </c>
      <c r="B34" s="50">
        <v>14.653846153846153</v>
      </c>
      <c r="D34" s="122"/>
    </row>
    <row r="35" spans="1:4" ht="15.75" thickBot="1" x14ac:dyDescent="0.3">
      <c r="A35" s="15" t="s">
        <v>33</v>
      </c>
      <c r="B35" s="50">
        <v>49</v>
      </c>
      <c r="D35" s="122"/>
    </row>
    <row r="36" spans="1:4" ht="15.75" thickBot="1" x14ac:dyDescent="0.3">
      <c r="A36" s="15" t="s">
        <v>35</v>
      </c>
      <c r="B36" s="50">
        <v>3.0384615384615383</v>
      </c>
      <c r="D36" s="122"/>
    </row>
    <row r="37" spans="1:4" ht="15.75" thickBot="1" x14ac:dyDescent="0.3">
      <c r="A37" s="15" t="s">
        <v>220</v>
      </c>
      <c r="B37" s="50">
        <v>48.115384615384613</v>
      </c>
      <c r="D37" s="122"/>
    </row>
    <row r="38" spans="1:4" ht="15.75" thickBot="1" x14ac:dyDescent="0.3">
      <c r="A38" s="47" t="s">
        <v>0</v>
      </c>
      <c r="B38" s="51">
        <v>18.28846153846154</v>
      </c>
      <c r="D38" s="12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3" name="Button 2">
              <controlPr defaultSize="0" print="0" autoFill="0" autoPict="0" macro="[0]!Menu">
                <anchor moveWithCells="1">
                  <from>
                    <xdr:col>2</xdr:col>
                    <xdr:colOff>381000</xdr:colOff>
                    <xdr:row>1</xdr:row>
                    <xdr:rowOff>0</xdr:rowOff>
                  </from>
                  <to>
                    <xdr:col>4</xdr:col>
                    <xdr:colOff>542925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A1:G38"/>
  <sheetViews>
    <sheetView topLeftCell="A6" workbookViewId="0">
      <selection activeCell="E17" sqref="E17"/>
    </sheetView>
  </sheetViews>
  <sheetFormatPr baseColWidth="10" defaultRowHeight="15" x14ac:dyDescent="0.25"/>
  <cols>
    <col min="1" max="1" width="49.42578125" style="121" bestFit="1" customWidth="1"/>
    <col min="2" max="2" width="22.7109375" style="121" bestFit="1" customWidth="1"/>
    <col min="3" max="3" width="11.42578125" style="121"/>
    <col min="4" max="4" width="17.7109375" style="121" bestFit="1" customWidth="1"/>
    <col min="5" max="16384" width="11.42578125" style="121"/>
  </cols>
  <sheetData>
    <row r="1" spans="1:7" ht="15.75" thickBot="1" x14ac:dyDescent="0.3">
      <c r="A1" s="106" t="s">
        <v>221</v>
      </c>
      <c r="B1" s="80" t="s">
        <v>409</v>
      </c>
    </row>
    <row r="2" spans="1:7" ht="15.75" thickBot="1" x14ac:dyDescent="0.3">
      <c r="A2" s="15" t="s">
        <v>219</v>
      </c>
      <c r="B2" s="22">
        <v>268</v>
      </c>
      <c r="D2" s="122"/>
      <c r="G2" s="122"/>
    </row>
    <row r="3" spans="1:7" ht="15.75" thickBot="1" x14ac:dyDescent="0.3">
      <c r="A3" s="15" t="s">
        <v>1</v>
      </c>
      <c r="B3" s="22">
        <v>85</v>
      </c>
      <c r="D3" s="122"/>
    </row>
    <row r="4" spans="1:7" ht="15.75" thickBot="1" x14ac:dyDescent="0.3">
      <c r="A4" s="15" t="s">
        <v>2</v>
      </c>
      <c r="B4" s="22">
        <v>433</v>
      </c>
      <c r="D4" s="122"/>
    </row>
    <row r="5" spans="1:7" ht="15.75" thickBot="1" x14ac:dyDescent="0.3">
      <c r="A5" s="15" t="s">
        <v>3</v>
      </c>
      <c r="B5" s="22">
        <v>125</v>
      </c>
      <c r="D5" s="122"/>
    </row>
    <row r="6" spans="1:7" ht="15.75" thickBot="1" x14ac:dyDescent="0.3">
      <c r="A6" s="15" t="s">
        <v>4</v>
      </c>
      <c r="B6" s="22">
        <v>81</v>
      </c>
      <c r="D6" s="122"/>
    </row>
    <row r="7" spans="1:7" ht="15.75" thickBot="1" x14ac:dyDescent="0.3">
      <c r="A7" s="15" t="s">
        <v>5</v>
      </c>
      <c r="B7" s="22">
        <v>102</v>
      </c>
      <c r="D7" s="122"/>
    </row>
    <row r="8" spans="1:7" ht="15.75" thickBot="1" x14ac:dyDescent="0.3">
      <c r="A8" s="15" t="s">
        <v>7</v>
      </c>
      <c r="B8" s="22">
        <v>37</v>
      </c>
      <c r="D8" s="122"/>
    </row>
    <row r="9" spans="1:7" ht="15.75" thickBot="1" x14ac:dyDescent="0.3">
      <c r="A9" s="15" t="s">
        <v>8</v>
      </c>
      <c r="B9" s="22">
        <v>14</v>
      </c>
      <c r="D9" s="122"/>
    </row>
    <row r="10" spans="1:7" ht="15.75" thickBot="1" x14ac:dyDescent="0.3">
      <c r="A10" s="38" t="s">
        <v>9</v>
      </c>
      <c r="B10" s="22">
        <v>1</v>
      </c>
      <c r="D10" s="122"/>
    </row>
    <row r="11" spans="1:7" ht="15.75" thickBot="1" x14ac:dyDescent="0.3">
      <c r="A11" s="15" t="s">
        <v>10</v>
      </c>
      <c r="B11" s="22">
        <v>222</v>
      </c>
      <c r="D11" s="122"/>
    </row>
    <row r="12" spans="1:7" ht="15.75" thickBot="1" x14ac:dyDescent="0.3">
      <c r="A12" s="15" t="s">
        <v>12</v>
      </c>
      <c r="B12" s="22">
        <v>43</v>
      </c>
      <c r="D12" s="122"/>
    </row>
    <row r="13" spans="1:7" ht="15.75" thickBot="1" x14ac:dyDescent="0.3">
      <c r="A13" s="15" t="s">
        <v>11</v>
      </c>
      <c r="B13" s="22">
        <v>1372</v>
      </c>
      <c r="D13" s="122"/>
    </row>
    <row r="14" spans="1:7" ht="15.75" thickBot="1" x14ac:dyDescent="0.3">
      <c r="A14" s="15" t="s">
        <v>19</v>
      </c>
      <c r="B14" s="22">
        <v>338</v>
      </c>
      <c r="D14" s="122"/>
    </row>
    <row r="15" spans="1:7" ht="15.75" thickBot="1" x14ac:dyDescent="0.3">
      <c r="A15" s="15" t="s">
        <v>13</v>
      </c>
      <c r="B15" s="22">
        <v>1852</v>
      </c>
      <c r="D15" s="122"/>
    </row>
    <row r="16" spans="1:7" ht="15.75" thickBot="1" x14ac:dyDescent="0.3">
      <c r="A16" s="15" t="s">
        <v>15</v>
      </c>
      <c r="B16" s="22">
        <v>1015</v>
      </c>
      <c r="D16" s="122"/>
    </row>
    <row r="17" spans="1:4" ht="15.75" thickBot="1" x14ac:dyDescent="0.3">
      <c r="A17" s="15" t="s">
        <v>16</v>
      </c>
      <c r="B17" s="22">
        <v>0</v>
      </c>
      <c r="D17" s="122"/>
    </row>
    <row r="18" spans="1:4" ht="15.75" thickBot="1" x14ac:dyDescent="0.3">
      <c r="A18" s="15" t="s">
        <v>17</v>
      </c>
      <c r="B18" s="22">
        <v>71</v>
      </c>
      <c r="D18" s="122"/>
    </row>
    <row r="19" spans="1:4" ht="15.75" thickBot="1" x14ac:dyDescent="0.3">
      <c r="A19" s="15" t="s">
        <v>187</v>
      </c>
      <c r="B19" s="22">
        <v>1</v>
      </c>
      <c r="D19" s="122"/>
    </row>
    <row r="20" spans="1:4" ht="15.75" thickBot="1" x14ac:dyDescent="0.3">
      <c r="A20" s="15" t="s">
        <v>18</v>
      </c>
      <c r="B20" s="22">
        <v>0</v>
      </c>
      <c r="D20" s="122"/>
    </row>
    <row r="21" spans="1:4" ht="15.75" thickBot="1" x14ac:dyDescent="0.3">
      <c r="A21" s="15" t="s">
        <v>20</v>
      </c>
      <c r="B21" s="22">
        <v>338</v>
      </c>
      <c r="D21" s="122"/>
    </row>
    <row r="22" spans="1:4" ht="15.75" thickBot="1" x14ac:dyDescent="0.3">
      <c r="A22" s="15" t="s">
        <v>21</v>
      </c>
      <c r="B22" s="22">
        <v>67</v>
      </c>
      <c r="D22" s="122"/>
    </row>
    <row r="23" spans="1:4" ht="15.75" thickBot="1" x14ac:dyDescent="0.3">
      <c r="A23" s="15" t="s">
        <v>22</v>
      </c>
      <c r="B23" s="22">
        <v>3738</v>
      </c>
      <c r="D23" s="122"/>
    </row>
    <row r="24" spans="1:4" ht="15.75" thickBot="1" x14ac:dyDescent="0.3">
      <c r="A24" s="15" t="s">
        <v>23</v>
      </c>
      <c r="B24" s="22">
        <v>28</v>
      </c>
      <c r="D24" s="122"/>
    </row>
    <row r="25" spans="1:4" ht="15.75" thickBot="1" x14ac:dyDescent="0.3">
      <c r="A25" s="15" t="s">
        <v>24</v>
      </c>
      <c r="B25" s="22">
        <v>326</v>
      </c>
      <c r="D25" s="122"/>
    </row>
    <row r="26" spans="1:4" ht="15.75" thickBot="1" x14ac:dyDescent="0.3">
      <c r="A26" s="15" t="s">
        <v>25</v>
      </c>
      <c r="B26" s="22">
        <v>167</v>
      </c>
      <c r="D26" s="122"/>
    </row>
    <row r="27" spans="1:4" ht="15.75" thickBot="1" x14ac:dyDescent="0.3">
      <c r="A27" s="15" t="s">
        <v>26</v>
      </c>
      <c r="B27" s="22">
        <v>1420</v>
      </c>
      <c r="D27" s="122"/>
    </row>
    <row r="28" spans="1:4" ht="15.75" thickBot="1" x14ac:dyDescent="0.3">
      <c r="A28" s="15" t="s">
        <v>200</v>
      </c>
      <c r="B28" s="22">
        <v>13</v>
      </c>
      <c r="D28" s="122"/>
    </row>
    <row r="29" spans="1:4" ht="15.75" thickBot="1" x14ac:dyDescent="0.3">
      <c r="A29" s="15" t="s">
        <v>27</v>
      </c>
      <c r="B29" s="22">
        <v>7911</v>
      </c>
      <c r="D29" s="122"/>
    </row>
    <row r="30" spans="1:4" ht="15.75" thickBot="1" x14ac:dyDescent="0.3">
      <c r="A30" s="15" t="s">
        <v>28</v>
      </c>
      <c r="B30" s="22">
        <v>4870</v>
      </c>
      <c r="D30" s="122"/>
    </row>
    <row r="31" spans="1:4" ht="15.75" thickBot="1" x14ac:dyDescent="0.3">
      <c r="A31" s="15" t="s">
        <v>29</v>
      </c>
      <c r="B31" s="22">
        <v>3720</v>
      </c>
      <c r="D31" s="122"/>
    </row>
    <row r="32" spans="1:4" ht="15.75" thickBot="1" x14ac:dyDescent="0.3">
      <c r="A32" s="15" t="s">
        <v>30</v>
      </c>
      <c r="B32" s="22">
        <v>1209</v>
      </c>
      <c r="D32" s="122"/>
    </row>
    <row r="33" spans="1:4" ht="15.75" thickBot="1" x14ac:dyDescent="0.3">
      <c r="A33" s="15" t="s">
        <v>31</v>
      </c>
      <c r="B33" s="22">
        <v>1021</v>
      </c>
      <c r="D33" s="122"/>
    </row>
    <row r="34" spans="1:4" ht="15.75" thickBot="1" x14ac:dyDescent="0.3">
      <c r="A34" s="15" t="s">
        <v>32</v>
      </c>
      <c r="B34" s="22">
        <v>856</v>
      </c>
      <c r="D34" s="122"/>
    </row>
    <row r="35" spans="1:4" ht="15.75" thickBot="1" x14ac:dyDescent="0.3">
      <c r="A35" s="15" t="s">
        <v>33</v>
      </c>
      <c r="B35" s="22">
        <v>18</v>
      </c>
      <c r="D35" s="122"/>
    </row>
    <row r="36" spans="1:4" ht="15.75" thickBot="1" x14ac:dyDescent="0.3">
      <c r="A36" s="15" t="s">
        <v>35</v>
      </c>
      <c r="B36" s="22">
        <v>196</v>
      </c>
      <c r="D36" s="122"/>
    </row>
    <row r="37" spans="1:4" ht="15.75" thickBot="1" x14ac:dyDescent="0.3">
      <c r="A37" s="15" t="s">
        <v>220</v>
      </c>
      <c r="B37" s="22">
        <v>268</v>
      </c>
      <c r="D37" s="122"/>
    </row>
    <row r="38" spans="1:4" ht="15.75" thickBot="1" x14ac:dyDescent="0.3">
      <c r="A38" s="47" t="s">
        <v>0</v>
      </c>
      <c r="B38" s="18">
        <v>6719</v>
      </c>
      <c r="D38" s="12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3" name="Button 2">
              <controlPr defaultSize="0" print="0" autoFill="0" autoPict="0" macro="[0]!Menu">
                <anchor moveWithCells="1">
                  <from>
                    <xdr:col>2</xdr:col>
                    <xdr:colOff>552450</xdr:colOff>
                    <xdr:row>1</xdr:row>
                    <xdr:rowOff>28575</xdr:rowOff>
                  </from>
                  <to>
                    <xdr:col>4</xdr:col>
                    <xdr:colOff>714375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FH99"/>
  <sheetViews>
    <sheetView zoomScale="60" zoomScaleNormal="60" workbookViewId="0">
      <selection activeCell="EM33" sqref="EM33"/>
    </sheetView>
  </sheetViews>
  <sheetFormatPr baseColWidth="10" defaultRowHeight="15" x14ac:dyDescent="0.25"/>
  <cols>
    <col min="1" max="1" width="10.140625" customWidth="1"/>
    <col min="2" max="2" width="20.85546875" bestFit="1" customWidth="1"/>
    <col min="3" max="3" width="49.42578125" bestFit="1" customWidth="1"/>
    <col min="4" max="4" width="19.5703125" bestFit="1" customWidth="1"/>
    <col min="5" max="5" width="17.140625" bestFit="1" customWidth="1"/>
    <col min="7" max="7" width="13.7109375" bestFit="1" customWidth="1"/>
    <col min="8" max="8" width="23.5703125" customWidth="1"/>
    <col min="9" max="9" width="50" bestFit="1" customWidth="1"/>
    <col min="10" max="10" width="149" customWidth="1"/>
    <col min="11" max="11" width="103.7109375" customWidth="1"/>
    <col min="12" max="12" width="51.85546875" customWidth="1"/>
    <col min="13" max="13" width="23.5703125" bestFit="1" customWidth="1"/>
    <col min="14" max="14" width="50" bestFit="1" customWidth="1"/>
    <col min="16" max="16" width="11.42578125" style="8"/>
    <col min="18" max="18" width="44.140625" style="8" bestFit="1" customWidth="1"/>
    <col min="19" max="19" width="43.85546875" style="8" customWidth="1"/>
    <col min="20" max="20" width="17.7109375" bestFit="1" customWidth="1"/>
    <col min="21" max="21" width="16.42578125" style="8" bestFit="1" customWidth="1"/>
    <col min="22" max="22" width="27.7109375" style="8" bestFit="1" customWidth="1"/>
    <col min="23" max="23" width="11.42578125" style="8"/>
    <col min="25" max="25" width="23.5703125" bestFit="1" customWidth="1"/>
    <col min="26" max="26" width="50" bestFit="1" customWidth="1"/>
    <col min="27" max="27" width="17.140625" bestFit="1" customWidth="1"/>
    <col min="31" max="31" width="23.5703125" bestFit="1" customWidth="1"/>
    <col min="32" max="32" width="50" bestFit="1" customWidth="1"/>
    <col min="33" max="33" width="17.140625" bestFit="1" customWidth="1"/>
    <col min="37" max="37" width="23.5703125" bestFit="1" customWidth="1"/>
    <col min="38" max="38" width="50" bestFit="1" customWidth="1"/>
    <col min="39" max="39" width="16.28515625" bestFit="1" customWidth="1"/>
    <col min="41" max="41" width="34.28515625" bestFit="1" customWidth="1"/>
    <col min="45" max="45" width="22.140625" bestFit="1" customWidth="1"/>
    <col min="46" max="46" width="63.85546875" bestFit="1" customWidth="1"/>
    <col min="47" max="47" width="10.7109375" bestFit="1" customWidth="1"/>
    <col min="48" max="48" width="17.140625" bestFit="1" customWidth="1"/>
    <col min="50" max="50" width="11.42578125" style="8"/>
    <col min="51" max="51" width="27.140625" customWidth="1"/>
    <col min="52" max="52" width="79.5703125" customWidth="1"/>
    <col min="66" max="66" width="19.28515625" customWidth="1"/>
    <col min="71" max="71" width="24" bestFit="1" customWidth="1"/>
    <col min="72" max="72" width="68" bestFit="1" customWidth="1"/>
    <col min="73" max="73" width="14.42578125" customWidth="1"/>
    <col min="75" max="75" width="21" customWidth="1"/>
    <col min="76" max="76" width="139.7109375" customWidth="1"/>
    <col min="95" max="95" width="24" bestFit="1" customWidth="1"/>
    <col min="96" max="96" width="73" customWidth="1"/>
    <col min="97" max="97" width="11.7109375" customWidth="1"/>
    <col min="98" max="98" width="146.7109375" customWidth="1"/>
    <col min="119" max="119" width="24" customWidth="1"/>
    <col min="120" max="120" width="67.7109375" customWidth="1"/>
    <col min="121" max="121" width="17.42578125" customWidth="1"/>
    <col min="123" max="123" width="142.7109375" customWidth="1"/>
    <col min="142" max="142" width="36.42578125" customWidth="1"/>
    <col min="143" max="143" width="50.42578125" customWidth="1"/>
    <col min="144" max="144" width="16.140625" customWidth="1"/>
  </cols>
  <sheetData>
    <row r="1" spans="1:164" s="121" customFormat="1" x14ac:dyDescent="0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  <c r="DN1" s="40"/>
      <c r="DO1" s="40"/>
      <c r="DP1" s="40"/>
      <c r="DQ1" s="40"/>
      <c r="DR1" s="40"/>
      <c r="DS1" s="40"/>
      <c r="DT1" s="40"/>
      <c r="DU1" s="40"/>
      <c r="DV1" s="40"/>
      <c r="DW1" s="40"/>
      <c r="DX1" s="40"/>
      <c r="DY1" s="40"/>
      <c r="DZ1" s="40"/>
      <c r="EA1" s="40"/>
      <c r="EB1" s="40"/>
      <c r="EC1" s="40"/>
      <c r="ED1" s="40"/>
      <c r="EE1" s="40"/>
      <c r="EF1" s="40"/>
      <c r="EG1" s="40"/>
      <c r="EH1" s="40"/>
      <c r="EI1" s="40"/>
      <c r="EJ1" s="40"/>
      <c r="EK1" s="40"/>
      <c r="EL1" s="40"/>
      <c r="EM1" s="40"/>
      <c r="EN1" s="40"/>
      <c r="EO1" s="40"/>
      <c r="EP1" s="40"/>
      <c r="EQ1" s="40"/>
      <c r="ER1" s="40"/>
      <c r="ES1" s="40"/>
      <c r="ET1" s="40"/>
      <c r="EU1" s="40"/>
      <c r="EV1" s="40"/>
      <c r="EW1" s="40"/>
      <c r="EX1" s="40"/>
      <c r="EY1" s="40"/>
      <c r="EZ1" s="40"/>
      <c r="FA1" s="40"/>
      <c r="FB1" s="40"/>
      <c r="FC1" s="40"/>
      <c r="FD1" s="40"/>
      <c r="FE1" s="40"/>
    </row>
    <row r="2" spans="1:164" s="121" customForma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/>
      <c r="DG2" s="40"/>
      <c r="DH2" s="40"/>
      <c r="DI2" s="40"/>
      <c r="DJ2" s="40"/>
      <c r="DK2" s="40"/>
      <c r="DL2" s="40"/>
      <c r="DM2" s="40"/>
      <c r="DN2" s="40"/>
      <c r="DO2" s="40"/>
      <c r="DP2" s="40"/>
      <c r="DQ2" s="40"/>
      <c r="DR2" s="40"/>
      <c r="DS2" s="40"/>
      <c r="DT2" s="40"/>
      <c r="DU2" s="40"/>
      <c r="DV2" s="40"/>
      <c r="DW2" s="40"/>
      <c r="DX2" s="40"/>
      <c r="DY2" s="40"/>
      <c r="DZ2" s="40"/>
      <c r="EA2" s="40"/>
      <c r="EB2" s="40"/>
      <c r="EC2" s="40"/>
      <c r="ED2" s="40"/>
      <c r="EE2" s="40"/>
      <c r="EF2" s="40"/>
      <c r="EG2" s="40"/>
      <c r="EH2" s="40"/>
      <c r="EI2" s="40"/>
      <c r="EJ2" s="40"/>
      <c r="EK2" s="40"/>
      <c r="EL2" s="40"/>
      <c r="EM2" s="40"/>
      <c r="EN2" s="40"/>
      <c r="EO2" s="40"/>
      <c r="EP2" s="40"/>
      <c r="EQ2" s="40"/>
      <c r="ER2" s="40"/>
      <c r="ES2" s="40"/>
      <c r="ET2" s="40"/>
      <c r="EU2" s="40"/>
      <c r="EV2" s="40"/>
      <c r="EW2" s="40"/>
      <c r="EX2" s="40"/>
      <c r="EY2" s="40"/>
      <c r="EZ2" s="40"/>
      <c r="FA2" s="40"/>
      <c r="FB2" s="40"/>
      <c r="FC2" s="40"/>
      <c r="FD2" s="40"/>
      <c r="FE2" s="40"/>
    </row>
    <row r="3" spans="1:164" s="121" customFormat="1" ht="21" x14ac:dyDescent="0.3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174" t="s">
        <v>425</v>
      </c>
      <c r="BF3" s="174"/>
      <c r="BG3" s="174"/>
      <c r="BH3" s="174"/>
      <c r="BI3" s="174"/>
      <c r="BJ3" s="174"/>
      <c r="BK3" s="174"/>
      <c r="BL3" s="174"/>
      <c r="BM3" s="174"/>
      <c r="BN3" s="174"/>
      <c r="BO3" s="174"/>
      <c r="BP3" s="174"/>
      <c r="BQ3" s="174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174" t="s">
        <v>426</v>
      </c>
      <c r="CC3" s="174"/>
      <c r="CD3" s="174"/>
      <c r="CE3" s="174"/>
      <c r="CF3" s="174"/>
      <c r="CG3" s="174"/>
      <c r="CH3" s="174"/>
      <c r="CI3" s="174"/>
      <c r="CJ3" s="174"/>
      <c r="CK3" s="174"/>
      <c r="CL3" s="174"/>
      <c r="CM3" s="174"/>
      <c r="CN3" s="174"/>
      <c r="CO3" s="174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0"/>
      <c r="DF3" s="40"/>
      <c r="DG3" s="40"/>
      <c r="DH3" s="40"/>
      <c r="DI3" s="40"/>
      <c r="DJ3" s="40"/>
      <c r="DK3" s="40"/>
      <c r="DL3" s="40"/>
      <c r="DM3" s="40"/>
      <c r="DN3" s="40"/>
      <c r="DO3" s="40"/>
      <c r="DP3" s="40"/>
      <c r="DQ3" s="40"/>
      <c r="DR3" s="40"/>
      <c r="DS3" s="40"/>
      <c r="DT3" s="40"/>
      <c r="DU3" s="40"/>
      <c r="DV3" s="40"/>
      <c r="DW3" s="40"/>
      <c r="DX3" s="40"/>
      <c r="DY3" s="40"/>
      <c r="DZ3" s="40"/>
      <c r="EA3" s="40"/>
      <c r="EB3" s="40"/>
      <c r="EC3" s="40"/>
      <c r="ED3" s="40"/>
      <c r="EE3" s="40"/>
      <c r="EF3" s="40"/>
      <c r="EG3" s="40"/>
      <c r="EH3" s="40"/>
      <c r="EI3" s="40"/>
      <c r="EJ3" s="40"/>
      <c r="EK3" s="40"/>
      <c r="EL3" s="40"/>
      <c r="EM3" s="40"/>
      <c r="EN3" s="40"/>
      <c r="EO3" s="40"/>
      <c r="EP3" s="40"/>
      <c r="EQ3" s="40"/>
      <c r="ER3" s="40"/>
      <c r="ES3" s="40"/>
      <c r="ET3" s="40"/>
      <c r="EU3" s="40"/>
      <c r="EV3" s="40"/>
      <c r="EW3" s="40"/>
      <c r="EX3" s="40"/>
      <c r="EY3" s="40"/>
      <c r="EZ3" s="40"/>
      <c r="FA3" s="40"/>
      <c r="FB3" s="40"/>
      <c r="FC3" s="40"/>
      <c r="FD3" s="40"/>
      <c r="FE3" s="40"/>
    </row>
    <row r="4" spans="1:164" s="121" customFormat="1" ht="21" x14ac:dyDescent="0.35">
      <c r="A4" s="40"/>
      <c r="B4" s="40"/>
      <c r="C4" s="174" t="s">
        <v>399</v>
      </c>
      <c r="D4" s="174"/>
      <c r="E4" s="174"/>
      <c r="F4" s="174"/>
      <c r="G4" s="174"/>
      <c r="H4" s="174"/>
      <c r="I4" s="174"/>
      <c r="J4" s="40"/>
      <c r="K4" s="40"/>
      <c r="L4" s="40"/>
      <c r="M4" s="174" t="s">
        <v>400</v>
      </c>
      <c r="N4" s="174"/>
      <c r="O4" s="174"/>
      <c r="P4" s="174"/>
      <c r="Q4" s="174"/>
      <c r="R4" s="174"/>
      <c r="S4" s="174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145"/>
      <c r="BF4" s="145"/>
      <c r="BG4" s="145"/>
      <c r="BH4" s="145"/>
      <c r="BI4" s="145"/>
      <c r="BJ4" s="145"/>
      <c r="BK4" s="145"/>
      <c r="BL4" s="145"/>
      <c r="BM4" s="145"/>
      <c r="BN4" s="145"/>
      <c r="BO4" s="145"/>
      <c r="BP4" s="145"/>
      <c r="BQ4" s="145"/>
      <c r="BR4" s="40"/>
      <c r="BS4" s="182" t="s">
        <v>437</v>
      </c>
      <c r="BT4" s="182"/>
      <c r="BU4" s="183"/>
      <c r="BV4" s="40"/>
      <c r="BW4" s="40"/>
      <c r="BX4" s="40"/>
      <c r="BY4" s="40"/>
      <c r="BZ4" s="40"/>
      <c r="CA4" s="40"/>
      <c r="CB4" s="145"/>
      <c r="CC4" s="145"/>
      <c r="CD4" s="145"/>
      <c r="CE4" s="145"/>
      <c r="CF4" s="145"/>
      <c r="CG4" s="145"/>
      <c r="CH4" s="145"/>
      <c r="CI4" s="145"/>
      <c r="CJ4" s="145"/>
      <c r="CK4" s="145"/>
      <c r="CL4" s="145"/>
      <c r="CM4" s="145"/>
      <c r="CN4" s="145"/>
      <c r="CO4" s="145"/>
      <c r="CP4" s="40"/>
      <c r="CQ4" s="182" t="s">
        <v>437</v>
      </c>
      <c r="CR4" s="182"/>
      <c r="CS4" s="183"/>
      <c r="CT4" s="40"/>
      <c r="CU4" s="40"/>
      <c r="CV4" s="40"/>
      <c r="CW4" s="40"/>
      <c r="CX4" s="40"/>
      <c r="CY4" s="40"/>
      <c r="CZ4" s="174" t="s">
        <v>428</v>
      </c>
      <c r="DA4" s="174"/>
      <c r="DB4" s="174"/>
      <c r="DC4" s="174"/>
      <c r="DD4" s="174"/>
      <c r="DE4" s="174"/>
      <c r="DF4" s="174"/>
      <c r="DG4" s="174"/>
      <c r="DH4" s="174"/>
      <c r="DI4" s="174"/>
      <c r="DJ4" s="174"/>
      <c r="DK4" s="174"/>
      <c r="DL4" s="174"/>
      <c r="DM4" s="174"/>
      <c r="DN4" s="40"/>
      <c r="DO4" s="40"/>
      <c r="DP4" s="40"/>
      <c r="DQ4" s="40"/>
      <c r="DR4" s="40"/>
      <c r="DS4" s="40"/>
      <c r="DT4" s="40"/>
      <c r="DU4" s="40"/>
      <c r="DV4" s="40"/>
      <c r="DW4" s="174" t="s">
        <v>427</v>
      </c>
      <c r="DX4" s="174"/>
      <c r="DY4" s="174"/>
      <c r="DZ4" s="174"/>
      <c r="EA4" s="174"/>
      <c r="EB4" s="174"/>
      <c r="EC4" s="174"/>
      <c r="ED4" s="174"/>
      <c r="EE4" s="174"/>
      <c r="EF4" s="174"/>
      <c r="EG4" s="174"/>
      <c r="EH4" s="174"/>
      <c r="EI4" s="174"/>
      <c r="EJ4" s="174"/>
      <c r="EK4" s="40"/>
      <c r="EL4" s="40"/>
      <c r="EM4" s="40"/>
      <c r="EN4" s="40"/>
      <c r="EO4" s="40"/>
      <c r="EP4" s="40"/>
      <c r="EQ4" s="40"/>
      <c r="ER4" s="40"/>
      <c r="ES4" s="40"/>
      <c r="ET4" s="40"/>
      <c r="EU4" s="40"/>
      <c r="EV4" s="40"/>
      <c r="EW4" s="40"/>
      <c r="EX4" s="40"/>
      <c r="EY4" s="40"/>
      <c r="EZ4" s="40"/>
      <c r="FA4" s="40"/>
      <c r="FB4" s="40"/>
      <c r="FC4" s="40"/>
      <c r="FD4" s="40"/>
      <c r="FE4" s="40"/>
      <c r="FF4" s="40"/>
      <c r="FG4" s="40"/>
      <c r="FH4" s="40"/>
    </row>
    <row r="5" spans="1:164" s="121" customFormat="1" ht="21.75" thickBot="1" x14ac:dyDescent="0.4">
      <c r="A5" s="40"/>
      <c r="B5" s="40"/>
      <c r="C5" s="181"/>
      <c r="D5" s="181"/>
      <c r="E5" s="181"/>
      <c r="F5" s="181"/>
      <c r="G5" s="181"/>
      <c r="H5" s="181"/>
      <c r="I5" s="181"/>
      <c r="J5" s="40"/>
      <c r="K5" s="40"/>
      <c r="L5" s="40"/>
      <c r="M5" s="181" t="s">
        <v>146</v>
      </c>
      <c r="N5" s="181"/>
      <c r="O5" s="181"/>
      <c r="P5" s="181"/>
      <c r="Q5" s="181"/>
      <c r="R5" s="181"/>
      <c r="S5" s="181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145"/>
      <c r="BF5" s="145"/>
      <c r="BG5" s="145"/>
      <c r="BH5" s="145"/>
      <c r="BI5" s="145"/>
      <c r="BJ5" s="145"/>
      <c r="BK5" s="145"/>
      <c r="BL5" s="145"/>
      <c r="BM5" s="145"/>
      <c r="BN5" s="145"/>
      <c r="BO5" s="145"/>
      <c r="BP5" s="145"/>
      <c r="BQ5" s="145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145"/>
      <c r="CC5" s="145"/>
      <c r="CD5" s="145"/>
      <c r="CE5" s="145"/>
      <c r="CF5" s="145"/>
      <c r="CG5" s="145"/>
      <c r="CH5" s="145"/>
      <c r="CI5" s="145"/>
      <c r="CJ5" s="145"/>
      <c r="CK5" s="145"/>
      <c r="CL5" s="145"/>
      <c r="CM5" s="145"/>
      <c r="CN5" s="145"/>
      <c r="CO5" s="145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145"/>
      <c r="DA5" s="145"/>
      <c r="DB5" s="145"/>
      <c r="DC5" s="145"/>
      <c r="DD5" s="145"/>
      <c r="DE5" s="145"/>
      <c r="DF5" s="145"/>
      <c r="DG5" s="145"/>
      <c r="DH5" s="145"/>
      <c r="DI5" s="145"/>
      <c r="DJ5" s="145"/>
      <c r="DK5" s="145"/>
      <c r="DL5" s="145"/>
      <c r="DM5" s="145"/>
      <c r="DN5" s="40"/>
      <c r="DO5" s="182" t="s">
        <v>437</v>
      </c>
      <c r="DP5" s="182"/>
      <c r="DQ5" s="183"/>
      <c r="DR5" s="40"/>
      <c r="DS5" s="40"/>
      <c r="DT5" s="40"/>
      <c r="DU5" s="40"/>
      <c r="DV5" s="40"/>
      <c r="DW5" s="145"/>
      <c r="DX5" s="145"/>
      <c r="DY5" s="145"/>
      <c r="DZ5" s="145"/>
      <c r="EA5" s="145"/>
      <c r="EB5" s="145"/>
      <c r="EC5" s="145"/>
      <c r="ED5" s="145"/>
      <c r="EE5" s="145"/>
      <c r="EF5" s="145"/>
      <c r="EG5" s="145"/>
      <c r="EH5" s="145"/>
      <c r="EI5" s="145"/>
      <c r="EJ5" s="145"/>
      <c r="EK5" s="40"/>
      <c r="EL5" s="182" t="s">
        <v>437</v>
      </c>
      <c r="EM5" s="182"/>
      <c r="EN5" s="183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40"/>
      <c r="EZ5" s="40"/>
      <c r="FA5" s="40"/>
      <c r="FB5" s="40"/>
      <c r="FC5" s="40"/>
      <c r="FD5" s="40"/>
      <c r="FE5" s="40"/>
      <c r="FF5" s="40"/>
      <c r="FG5" s="40"/>
      <c r="FH5" s="40"/>
    </row>
    <row r="6" spans="1:164" s="121" customFormat="1" ht="15.75" thickBot="1" x14ac:dyDescent="0.3">
      <c r="A6" s="40"/>
      <c r="B6" s="40"/>
      <c r="C6" s="181"/>
      <c r="D6" s="181"/>
      <c r="E6" s="181"/>
      <c r="F6" s="181"/>
      <c r="G6" s="181"/>
      <c r="H6" s="181"/>
      <c r="I6" s="181"/>
      <c r="J6" s="40"/>
      <c r="K6" s="40"/>
      <c r="L6" s="40"/>
      <c r="M6" s="181"/>
      <c r="N6" s="181"/>
      <c r="O6" s="181"/>
      <c r="P6" s="181"/>
      <c r="Q6" s="181"/>
      <c r="R6" s="181"/>
      <c r="S6" s="181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145"/>
      <c r="BF6" s="145"/>
      <c r="BG6" s="145"/>
      <c r="BH6" s="145"/>
      <c r="BI6" s="145"/>
      <c r="BJ6" s="145"/>
      <c r="BK6" s="145"/>
      <c r="BL6" s="145"/>
      <c r="BM6" s="145"/>
      <c r="BN6" s="145"/>
      <c r="BO6" s="145"/>
      <c r="BP6" s="145"/>
      <c r="BQ6" s="145"/>
      <c r="BR6" s="40"/>
      <c r="BS6" s="53" t="s">
        <v>233</v>
      </c>
      <c r="BT6" s="15" t="s">
        <v>219</v>
      </c>
      <c r="BU6" s="147">
        <f ca="1">BA46</f>
        <v>11.623978713724965</v>
      </c>
      <c r="BV6" s="40"/>
      <c r="BW6" s="40"/>
      <c r="BX6" s="40"/>
      <c r="BY6" s="40"/>
      <c r="BZ6" s="40"/>
      <c r="CA6" s="40"/>
      <c r="CB6" s="145"/>
      <c r="CC6" s="145"/>
      <c r="CD6" s="145"/>
      <c r="CE6" s="145"/>
      <c r="CF6" s="145"/>
      <c r="CG6" s="145"/>
      <c r="CH6" s="145"/>
      <c r="CI6" s="145"/>
      <c r="CJ6" s="145"/>
      <c r="CK6" s="145"/>
      <c r="CL6" s="145"/>
      <c r="CM6" s="145"/>
      <c r="CN6" s="145"/>
      <c r="CO6" s="145"/>
      <c r="CP6" s="40"/>
      <c r="CQ6" s="152" t="s">
        <v>236</v>
      </c>
      <c r="CR6" s="15" t="s">
        <v>26</v>
      </c>
      <c r="CS6" s="147">
        <f t="shared" ref="CS6:CS15" ca="1" si="0">BA71</f>
        <v>0.40592924375237477</v>
      </c>
      <c r="CT6" s="40"/>
      <c r="CU6" s="40"/>
      <c r="CV6" s="40"/>
      <c r="CW6" s="40"/>
      <c r="CX6" s="40"/>
      <c r="CY6" s="40"/>
      <c r="CZ6" s="145"/>
      <c r="DA6" s="145"/>
      <c r="DB6" s="145"/>
      <c r="DC6" s="145"/>
      <c r="DD6" s="145"/>
      <c r="DE6" s="145"/>
      <c r="DF6" s="145"/>
      <c r="DG6" s="145"/>
      <c r="DH6" s="145"/>
      <c r="DI6" s="145"/>
      <c r="DJ6" s="145"/>
      <c r="DK6" s="145"/>
      <c r="DL6" s="145"/>
      <c r="DM6" s="145"/>
      <c r="DN6" s="40"/>
      <c r="DO6" s="40"/>
      <c r="DP6" s="40"/>
      <c r="DQ6" s="40"/>
      <c r="DR6" s="40"/>
      <c r="DS6" s="40"/>
      <c r="DT6" s="40"/>
      <c r="DU6" s="40"/>
      <c r="DV6" s="40"/>
      <c r="DW6" s="145"/>
      <c r="DX6" s="145"/>
      <c r="DY6" s="145"/>
      <c r="DZ6" s="145"/>
      <c r="EA6" s="145"/>
      <c r="EB6" s="145"/>
      <c r="EC6" s="145"/>
      <c r="ED6" s="145"/>
      <c r="EE6" s="145"/>
      <c r="EF6" s="145"/>
      <c r="EG6" s="145"/>
      <c r="EH6" s="145"/>
      <c r="EI6" s="145"/>
      <c r="EJ6" s="145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</row>
    <row r="7" spans="1:164" s="121" customFormat="1" ht="15.75" thickBot="1" x14ac:dyDescent="0.3">
      <c r="A7" s="40"/>
      <c r="B7" s="40"/>
      <c r="C7" s="181"/>
      <c r="D7" s="181"/>
      <c r="E7" s="181"/>
      <c r="F7" s="181"/>
      <c r="G7" s="181"/>
      <c r="H7" s="181"/>
      <c r="I7" s="181"/>
      <c r="J7" s="40"/>
      <c r="K7" s="40"/>
      <c r="L7" s="40"/>
      <c r="M7" s="181"/>
      <c r="N7" s="181"/>
      <c r="O7" s="181"/>
      <c r="P7" s="181"/>
      <c r="Q7" s="181"/>
      <c r="R7" s="181"/>
      <c r="S7" s="181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145"/>
      <c r="BF7" s="145"/>
      <c r="BG7" s="145"/>
      <c r="BH7" s="145"/>
      <c r="BI7" s="145"/>
      <c r="BJ7" s="145"/>
      <c r="BK7" s="145"/>
      <c r="BL7" s="145"/>
      <c r="BM7" s="145"/>
      <c r="BN7" s="145"/>
      <c r="BO7" s="145"/>
      <c r="BP7" s="145"/>
      <c r="BQ7" s="145"/>
      <c r="BR7" s="40"/>
      <c r="BS7" s="54" t="s">
        <v>233</v>
      </c>
      <c r="BT7" s="15" t="s">
        <v>1</v>
      </c>
      <c r="BU7" s="147">
        <f t="shared" ref="BU7:BU17" ca="1" si="1">BA47</f>
        <v>6.318730426730423</v>
      </c>
      <c r="BV7" s="40"/>
      <c r="BW7" s="40"/>
      <c r="BX7" s="40"/>
      <c r="BY7" s="40"/>
      <c r="BZ7" s="40"/>
      <c r="CA7" s="40"/>
      <c r="CB7" s="145"/>
      <c r="CC7" s="145"/>
      <c r="CD7" s="145"/>
      <c r="CE7" s="145"/>
      <c r="CF7" s="145"/>
      <c r="CG7" s="145"/>
      <c r="CH7" s="145"/>
      <c r="CI7" s="145"/>
      <c r="CJ7" s="145"/>
      <c r="CK7" s="145"/>
      <c r="CL7" s="145"/>
      <c r="CM7" s="145"/>
      <c r="CN7" s="145"/>
      <c r="CO7" s="145"/>
      <c r="CP7" s="40"/>
      <c r="CQ7" s="57" t="s">
        <v>236</v>
      </c>
      <c r="CR7" s="15" t="s">
        <v>200</v>
      </c>
      <c r="CS7" s="147">
        <f t="shared" ca="1" si="0"/>
        <v>6.2901793168324334</v>
      </c>
      <c r="CT7" s="40"/>
      <c r="CU7" s="40"/>
      <c r="CV7" s="40"/>
      <c r="CW7" s="40"/>
      <c r="CX7" s="40"/>
      <c r="CY7" s="40"/>
      <c r="CZ7" s="145"/>
      <c r="DA7" s="145"/>
      <c r="DB7" s="145"/>
      <c r="DC7" s="145"/>
      <c r="DD7" s="145"/>
      <c r="DE7" s="145"/>
      <c r="DF7" s="145"/>
      <c r="DG7" s="145"/>
      <c r="DH7" s="145"/>
      <c r="DI7" s="145"/>
      <c r="DJ7" s="145"/>
      <c r="DK7" s="145"/>
      <c r="DL7" s="145"/>
      <c r="DM7" s="145"/>
      <c r="DN7" s="40"/>
      <c r="DO7" s="154" t="s">
        <v>235</v>
      </c>
      <c r="DP7" s="15" t="s">
        <v>19</v>
      </c>
      <c r="DQ7" s="155">
        <f ca="1">BA58</f>
        <v>3.5939173182501207</v>
      </c>
      <c r="DR7" s="40"/>
      <c r="DS7" s="40"/>
      <c r="DT7" s="40"/>
      <c r="DU7" s="40"/>
      <c r="DV7" s="40"/>
      <c r="DW7" s="145"/>
      <c r="DX7" s="145"/>
      <c r="DY7" s="145"/>
      <c r="DZ7" s="145"/>
      <c r="EA7" s="145"/>
      <c r="EB7" s="145"/>
      <c r="EC7" s="145"/>
      <c r="ED7" s="145"/>
      <c r="EE7" s="145"/>
      <c r="EF7" s="145"/>
      <c r="EG7" s="145"/>
      <c r="EH7" s="145"/>
      <c r="EI7" s="145"/>
      <c r="EJ7" s="145"/>
      <c r="EK7" s="40"/>
      <c r="EL7" s="158" t="s">
        <v>234</v>
      </c>
      <c r="EM7" s="15" t="s">
        <v>20</v>
      </c>
      <c r="EN7" s="147">
        <f ca="1">BA65</f>
        <v>2.1634512748242929</v>
      </c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</row>
    <row r="8" spans="1:164" s="121" customFormat="1" ht="15.75" thickBot="1" x14ac:dyDescent="0.3">
      <c r="A8" s="40"/>
      <c r="B8" s="40"/>
      <c r="C8" s="181"/>
      <c r="D8" s="181"/>
      <c r="E8" s="181"/>
      <c r="F8" s="181"/>
      <c r="G8" s="181"/>
      <c r="H8" s="181"/>
      <c r="I8" s="181"/>
      <c r="J8" s="40"/>
      <c r="K8" s="40"/>
      <c r="L8" s="40"/>
      <c r="M8" s="181"/>
      <c r="N8" s="181"/>
      <c r="O8" s="181"/>
      <c r="P8" s="181"/>
      <c r="Q8" s="181"/>
      <c r="R8" s="181"/>
      <c r="S8" s="181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145"/>
      <c r="BF8" s="145"/>
      <c r="BG8" s="145"/>
      <c r="BH8" s="145"/>
      <c r="BI8" s="145"/>
      <c r="BJ8" s="145"/>
      <c r="BK8" s="145"/>
      <c r="BL8" s="145"/>
      <c r="BM8" s="145"/>
      <c r="BN8" s="145"/>
      <c r="BO8" s="145"/>
      <c r="BP8" s="145"/>
      <c r="BQ8" s="145"/>
      <c r="BR8" s="40"/>
      <c r="BS8" s="54" t="s">
        <v>233</v>
      </c>
      <c r="BT8" s="15" t="s">
        <v>2</v>
      </c>
      <c r="BU8" s="147">
        <f t="shared" ca="1" si="1"/>
        <v>6.2173102673475897</v>
      </c>
      <c r="BV8" s="40"/>
      <c r="BW8" s="40"/>
      <c r="BX8" s="40"/>
      <c r="BY8" s="40"/>
      <c r="BZ8" s="40"/>
      <c r="CA8" s="40"/>
      <c r="CB8" s="145"/>
      <c r="CC8" s="145"/>
      <c r="CD8" s="145"/>
      <c r="CE8" s="145"/>
      <c r="CF8" s="145"/>
      <c r="CG8" s="145"/>
      <c r="CH8" s="145"/>
      <c r="CI8" s="145"/>
      <c r="CJ8" s="145"/>
      <c r="CK8" s="145"/>
      <c r="CL8" s="145"/>
      <c r="CM8" s="145"/>
      <c r="CN8" s="145"/>
      <c r="CO8" s="145"/>
      <c r="CP8" s="40"/>
      <c r="CQ8" s="57" t="s">
        <v>236</v>
      </c>
      <c r="CR8" s="15" t="s">
        <v>27</v>
      </c>
      <c r="CS8" s="147">
        <f t="shared" ca="1" si="0"/>
        <v>2.4310221729900348</v>
      </c>
      <c r="CT8" s="40"/>
      <c r="CU8" s="40"/>
      <c r="CV8" s="40"/>
      <c r="CW8" s="40"/>
      <c r="CX8" s="40"/>
      <c r="CY8" s="40"/>
      <c r="CZ8" s="145"/>
      <c r="DA8" s="145"/>
      <c r="DB8" s="145"/>
      <c r="DC8" s="145"/>
      <c r="DD8" s="145"/>
      <c r="DE8" s="145"/>
      <c r="DF8" s="145"/>
      <c r="DG8" s="145"/>
      <c r="DH8" s="145"/>
      <c r="DI8" s="145"/>
      <c r="DJ8" s="145"/>
      <c r="DK8" s="145"/>
      <c r="DL8" s="145"/>
      <c r="DM8" s="145"/>
      <c r="DN8" s="40"/>
      <c r="DO8" s="55" t="s">
        <v>235</v>
      </c>
      <c r="DP8" s="15" t="s">
        <v>13</v>
      </c>
      <c r="DQ8" s="153">
        <f t="shared" ref="DQ8:DQ13" ca="1" si="2">BA59</f>
        <v>1.6542787343296064</v>
      </c>
      <c r="DR8" s="40"/>
      <c r="DS8" s="40"/>
      <c r="DT8" s="40"/>
      <c r="DU8" s="40"/>
      <c r="DV8" s="40"/>
      <c r="DW8" s="145"/>
      <c r="DX8" s="145"/>
      <c r="DY8" s="145"/>
      <c r="DZ8" s="145"/>
      <c r="EA8" s="145"/>
      <c r="EB8" s="145"/>
      <c r="EC8" s="145"/>
      <c r="ED8" s="145"/>
      <c r="EE8" s="145"/>
      <c r="EF8" s="145"/>
      <c r="EG8" s="145"/>
      <c r="EH8" s="145"/>
      <c r="EI8" s="145"/>
      <c r="EJ8" s="145"/>
      <c r="EK8" s="40"/>
      <c r="EL8" s="56" t="s">
        <v>234</v>
      </c>
      <c r="EM8" s="15" t="s">
        <v>21</v>
      </c>
      <c r="EN8" s="147">
        <f t="shared" ref="EN8:EN12" ca="1" si="3">BA66</f>
        <v>6.8981988433866572</v>
      </c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</row>
    <row r="9" spans="1:164" s="121" customFormat="1" ht="15.75" thickBot="1" x14ac:dyDescent="0.3">
      <c r="A9" s="40"/>
      <c r="B9" s="40"/>
      <c r="C9" s="181"/>
      <c r="D9" s="181"/>
      <c r="E9" s="181"/>
      <c r="F9" s="181"/>
      <c r="G9" s="181"/>
      <c r="H9" s="181"/>
      <c r="I9" s="181"/>
      <c r="J9" s="40"/>
      <c r="K9" s="40"/>
      <c r="L9" s="40"/>
      <c r="M9" s="181"/>
      <c r="N9" s="181"/>
      <c r="O9" s="181"/>
      <c r="P9" s="181"/>
      <c r="Q9" s="181"/>
      <c r="R9" s="181"/>
      <c r="S9" s="181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145"/>
      <c r="BF9" s="145"/>
      <c r="BG9" s="145"/>
      <c r="BH9" s="145"/>
      <c r="BI9" s="145"/>
      <c r="BJ9" s="145"/>
      <c r="BK9" s="145"/>
      <c r="BL9" s="145"/>
      <c r="BM9" s="145"/>
      <c r="BN9" s="145"/>
      <c r="BO9" s="145"/>
      <c r="BP9" s="145"/>
      <c r="BQ9" s="145"/>
      <c r="BR9" s="40"/>
      <c r="BS9" s="54" t="s">
        <v>233</v>
      </c>
      <c r="BT9" s="15" t="s">
        <v>3</v>
      </c>
      <c r="BU9" s="147">
        <f t="shared" ca="1" si="1"/>
        <v>2.1136248230243413</v>
      </c>
      <c r="BV9" s="40"/>
      <c r="BW9" s="40"/>
      <c r="BX9" s="40"/>
      <c r="BY9" s="40"/>
      <c r="BZ9" s="40"/>
      <c r="CA9" s="40"/>
      <c r="CB9" s="145"/>
      <c r="CC9" s="145"/>
      <c r="CD9" s="145"/>
      <c r="CE9" s="145"/>
      <c r="CF9" s="145"/>
      <c r="CG9" s="145"/>
      <c r="CH9" s="145"/>
      <c r="CI9" s="145"/>
      <c r="CJ9" s="145"/>
      <c r="CK9" s="145"/>
      <c r="CL9" s="145"/>
      <c r="CM9" s="145"/>
      <c r="CN9" s="145"/>
      <c r="CO9" s="145"/>
      <c r="CP9" s="40"/>
      <c r="CQ9" s="57" t="s">
        <v>236</v>
      </c>
      <c r="CR9" s="15" t="s">
        <v>28</v>
      </c>
      <c r="CS9" s="147">
        <f t="shared" ca="1" si="0"/>
        <v>3.2489636243190159</v>
      </c>
      <c r="CT9" s="40"/>
      <c r="CU9" s="40"/>
      <c r="CV9" s="40"/>
      <c r="CW9" s="40"/>
      <c r="CX9" s="40"/>
      <c r="CY9" s="40"/>
      <c r="CZ9" s="145"/>
      <c r="DA9" s="145"/>
      <c r="DB9" s="145"/>
      <c r="DC9" s="145"/>
      <c r="DD9" s="145"/>
      <c r="DE9" s="145"/>
      <c r="DF9" s="145"/>
      <c r="DG9" s="145"/>
      <c r="DH9" s="145"/>
      <c r="DI9" s="145"/>
      <c r="DJ9" s="145"/>
      <c r="DK9" s="145"/>
      <c r="DL9" s="145"/>
      <c r="DM9" s="145"/>
      <c r="DN9" s="40"/>
      <c r="DO9" s="55" t="s">
        <v>235</v>
      </c>
      <c r="DP9" s="15" t="s">
        <v>15</v>
      </c>
      <c r="DQ9" s="153">
        <f t="shared" ca="1" si="2"/>
        <v>8.0923487138272066</v>
      </c>
      <c r="DR9" s="40"/>
      <c r="DS9" s="40"/>
      <c r="DT9" s="40"/>
      <c r="DU9" s="40"/>
      <c r="DV9" s="40"/>
      <c r="DW9" s="145"/>
      <c r="DX9" s="145"/>
      <c r="DY9" s="145"/>
      <c r="DZ9" s="145"/>
      <c r="EA9" s="145"/>
      <c r="EB9" s="145"/>
      <c r="EC9" s="145"/>
      <c r="ED9" s="145"/>
      <c r="EE9" s="145"/>
      <c r="EF9" s="145"/>
      <c r="EG9" s="145"/>
      <c r="EH9" s="145"/>
      <c r="EI9" s="145"/>
      <c r="EJ9" s="145"/>
      <c r="EK9" s="40"/>
      <c r="EL9" s="56" t="s">
        <v>234</v>
      </c>
      <c r="EM9" s="15" t="s">
        <v>22</v>
      </c>
      <c r="EN9" s="147">
        <f t="shared" ca="1" si="3"/>
        <v>2.9582677052578656</v>
      </c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</row>
    <row r="10" spans="1:164" s="121" customFormat="1" ht="15.75" thickBot="1" x14ac:dyDescent="0.3">
      <c r="A10" s="40"/>
      <c r="B10" s="40"/>
      <c r="C10" s="181"/>
      <c r="D10" s="181"/>
      <c r="E10" s="181"/>
      <c r="F10" s="181"/>
      <c r="G10" s="181"/>
      <c r="H10" s="181"/>
      <c r="I10" s="181"/>
      <c r="J10" s="40"/>
      <c r="K10" s="40"/>
      <c r="L10" s="40"/>
      <c r="M10" s="181"/>
      <c r="N10" s="181"/>
      <c r="O10" s="181"/>
      <c r="P10" s="181"/>
      <c r="Q10" s="181"/>
      <c r="R10" s="181"/>
      <c r="S10" s="181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145"/>
      <c r="BF10" s="145"/>
      <c r="BG10" s="145"/>
      <c r="BH10" s="145"/>
      <c r="BI10" s="145"/>
      <c r="BJ10" s="145"/>
      <c r="BK10" s="145"/>
      <c r="BL10" s="145"/>
      <c r="BM10" s="145"/>
      <c r="BN10" s="145"/>
      <c r="BO10" s="145"/>
      <c r="BP10" s="145"/>
      <c r="BQ10" s="145"/>
      <c r="BR10" s="40"/>
      <c r="BS10" s="54" t="s">
        <v>233</v>
      </c>
      <c r="BT10" s="15" t="s">
        <v>4</v>
      </c>
      <c r="BU10" s="147">
        <f t="shared" ca="1" si="1"/>
        <v>4.5459927202540609</v>
      </c>
      <c r="BV10" s="40"/>
      <c r="BW10" s="40"/>
      <c r="BX10" s="40"/>
      <c r="BY10" s="40"/>
      <c r="BZ10" s="40"/>
      <c r="CA10" s="40"/>
      <c r="CB10" s="145"/>
      <c r="CC10" s="145"/>
      <c r="CD10" s="145"/>
      <c r="CE10" s="145"/>
      <c r="CF10" s="145"/>
      <c r="CG10" s="145"/>
      <c r="CH10" s="145"/>
      <c r="CI10" s="145"/>
      <c r="CJ10" s="145"/>
      <c r="CK10" s="145"/>
      <c r="CL10" s="145"/>
      <c r="CM10" s="145"/>
      <c r="CN10" s="145"/>
      <c r="CO10" s="145"/>
      <c r="CP10" s="40"/>
      <c r="CQ10" s="57" t="s">
        <v>236</v>
      </c>
      <c r="CR10" s="15" t="s">
        <v>29</v>
      </c>
      <c r="CS10" s="147">
        <f t="shared" ca="1" si="0"/>
        <v>2.7926665123788497</v>
      </c>
      <c r="CT10" s="40"/>
      <c r="CU10" s="40"/>
      <c r="CV10" s="40"/>
      <c r="CW10" s="40"/>
      <c r="CX10" s="40"/>
      <c r="CY10" s="40"/>
      <c r="CZ10" s="145"/>
      <c r="DA10" s="145"/>
      <c r="DB10" s="145"/>
      <c r="DC10" s="145"/>
      <c r="DD10" s="145"/>
      <c r="DE10" s="145"/>
      <c r="DF10" s="145"/>
      <c r="DG10" s="145"/>
      <c r="DH10" s="145"/>
      <c r="DI10" s="145"/>
      <c r="DJ10" s="145"/>
      <c r="DK10" s="145"/>
      <c r="DL10" s="145"/>
      <c r="DM10" s="145"/>
      <c r="DN10" s="40"/>
      <c r="DO10" s="55" t="s">
        <v>235</v>
      </c>
      <c r="DP10" s="15" t="s">
        <v>16</v>
      </c>
      <c r="DQ10" s="153">
        <f t="shared" ca="1" si="2"/>
        <v>2.7390736878105453</v>
      </c>
      <c r="DR10" s="40"/>
      <c r="DS10" s="40"/>
      <c r="DT10" s="40"/>
      <c r="DU10" s="40"/>
      <c r="DV10" s="40"/>
      <c r="DW10" s="145"/>
      <c r="DX10" s="145"/>
      <c r="DY10" s="145"/>
      <c r="DZ10" s="145"/>
      <c r="EA10" s="145"/>
      <c r="EB10" s="145"/>
      <c r="EC10" s="145"/>
      <c r="ED10" s="145"/>
      <c r="EE10" s="145"/>
      <c r="EF10" s="145"/>
      <c r="EG10" s="145"/>
      <c r="EH10" s="145"/>
      <c r="EI10" s="145"/>
      <c r="EJ10" s="145"/>
      <c r="EK10" s="40"/>
      <c r="EL10" s="56" t="s">
        <v>234</v>
      </c>
      <c r="EM10" s="15" t="s">
        <v>23</v>
      </c>
      <c r="EN10" s="147">
        <f t="shared" ca="1" si="3"/>
        <v>0.71972945812440703</v>
      </c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</row>
    <row r="11" spans="1:164" s="121" customFormat="1" ht="15.75" thickBot="1" x14ac:dyDescent="0.3">
      <c r="A11" s="40"/>
      <c r="B11" s="40"/>
      <c r="C11" s="181"/>
      <c r="D11" s="181"/>
      <c r="E11" s="181"/>
      <c r="F11" s="181"/>
      <c r="G11" s="181"/>
      <c r="H11" s="181"/>
      <c r="I11" s="181"/>
      <c r="J11" s="40"/>
      <c r="K11" s="40"/>
      <c r="L11" s="40"/>
      <c r="M11" s="181"/>
      <c r="N11" s="181"/>
      <c r="O11" s="181"/>
      <c r="P11" s="181"/>
      <c r="Q11" s="181"/>
      <c r="R11" s="181"/>
      <c r="S11" s="181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145"/>
      <c r="BF11" s="145"/>
      <c r="BG11" s="145"/>
      <c r="BH11" s="145"/>
      <c r="BI11" s="145"/>
      <c r="BJ11" s="145"/>
      <c r="BK11" s="145"/>
      <c r="BL11" s="145"/>
      <c r="BM11" s="145"/>
      <c r="BN11" s="145"/>
      <c r="BO11" s="145"/>
      <c r="BP11" s="145"/>
      <c r="BQ11" s="145"/>
      <c r="BR11" s="40"/>
      <c r="BS11" s="54" t="s">
        <v>233</v>
      </c>
      <c r="BT11" s="15" t="s">
        <v>5</v>
      </c>
      <c r="BU11" s="147">
        <f t="shared" ca="1" si="1"/>
        <v>8.9935136948180681</v>
      </c>
      <c r="BV11" s="40"/>
      <c r="BW11" s="40"/>
      <c r="BX11" s="40"/>
      <c r="BY11" s="40"/>
      <c r="BZ11" s="40"/>
      <c r="CA11" s="40"/>
      <c r="CB11" s="145"/>
      <c r="CC11" s="145"/>
      <c r="CD11" s="145"/>
      <c r="CE11" s="145"/>
      <c r="CF11" s="145"/>
      <c r="CG11" s="145"/>
      <c r="CH11" s="145"/>
      <c r="CI11" s="145"/>
      <c r="CJ11" s="145"/>
      <c r="CK11" s="145"/>
      <c r="CL11" s="145"/>
      <c r="CM11" s="145"/>
      <c r="CN11" s="145"/>
      <c r="CO11" s="145"/>
      <c r="CP11" s="40"/>
      <c r="CQ11" s="57" t="s">
        <v>236</v>
      </c>
      <c r="CR11" s="15" t="s">
        <v>30</v>
      </c>
      <c r="CS11" s="147">
        <f t="shared" ca="1" si="0"/>
        <v>1.1274360401121364</v>
      </c>
      <c r="CT11" s="40"/>
      <c r="CU11" s="40"/>
      <c r="CV11" s="40"/>
      <c r="CW11" s="40"/>
      <c r="CX11" s="40"/>
      <c r="CY11" s="40"/>
      <c r="CZ11" s="145"/>
      <c r="DA11" s="145"/>
      <c r="DB11" s="145"/>
      <c r="DC11" s="145"/>
      <c r="DD11" s="145"/>
      <c r="DE11" s="145"/>
      <c r="DF11" s="145"/>
      <c r="DG11" s="145"/>
      <c r="DH11" s="145"/>
      <c r="DI11" s="145"/>
      <c r="DJ11" s="145"/>
      <c r="DK11" s="145"/>
      <c r="DL11" s="145"/>
      <c r="DM11" s="145"/>
      <c r="DN11" s="40"/>
      <c r="DO11" s="55" t="s">
        <v>235</v>
      </c>
      <c r="DP11" s="15" t="s">
        <v>17</v>
      </c>
      <c r="DQ11" s="153">
        <f t="shared" ca="1" si="2"/>
        <v>3.0319763018796442</v>
      </c>
      <c r="DR11" s="40"/>
      <c r="DS11" s="40"/>
      <c r="DT11" s="40"/>
      <c r="DU11" s="40"/>
      <c r="DV11" s="40"/>
      <c r="DW11" s="145"/>
      <c r="DX11" s="145"/>
      <c r="DY11" s="145"/>
      <c r="DZ11" s="145"/>
      <c r="EA11" s="145"/>
      <c r="EB11" s="145"/>
      <c r="EC11" s="145"/>
      <c r="ED11" s="145"/>
      <c r="EE11" s="145"/>
      <c r="EF11" s="145"/>
      <c r="EG11" s="145"/>
      <c r="EH11" s="145"/>
      <c r="EI11" s="145"/>
      <c r="EJ11" s="145"/>
      <c r="EK11" s="40"/>
      <c r="EL11" s="56" t="s">
        <v>234</v>
      </c>
      <c r="EM11" s="15" t="s">
        <v>24</v>
      </c>
      <c r="EN11" s="147">
        <f t="shared" ca="1" si="3"/>
        <v>3.8244638143189906</v>
      </c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</row>
    <row r="12" spans="1:164" s="121" customFormat="1" ht="15.75" thickBot="1" x14ac:dyDescent="0.3">
      <c r="A12" s="40"/>
      <c r="B12" s="40"/>
      <c r="C12" s="181"/>
      <c r="D12" s="181"/>
      <c r="E12" s="181"/>
      <c r="F12" s="181"/>
      <c r="G12" s="181"/>
      <c r="H12" s="181"/>
      <c r="I12" s="181"/>
      <c r="J12" s="40"/>
      <c r="K12" s="40"/>
      <c r="L12" s="40"/>
      <c r="M12" s="181"/>
      <c r="N12" s="181"/>
      <c r="O12" s="181"/>
      <c r="P12" s="181"/>
      <c r="Q12" s="181"/>
      <c r="R12" s="181"/>
      <c r="S12" s="181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145"/>
      <c r="BF12" s="145"/>
      <c r="BG12" s="145"/>
      <c r="BH12" s="145"/>
      <c r="BI12" s="145"/>
      <c r="BJ12" s="145"/>
      <c r="BK12" s="145"/>
      <c r="BL12" s="145"/>
      <c r="BM12" s="145"/>
      <c r="BN12" s="145"/>
      <c r="BO12" s="145"/>
      <c r="BP12" s="145"/>
      <c r="BQ12" s="145"/>
      <c r="BR12" s="40"/>
      <c r="BS12" s="54" t="s">
        <v>233</v>
      </c>
      <c r="BT12" s="15" t="s">
        <v>7</v>
      </c>
      <c r="BU12" s="147">
        <f t="shared" ca="1" si="1"/>
        <v>2.7724114892017142</v>
      </c>
      <c r="BV12" s="40"/>
      <c r="BW12" s="40"/>
      <c r="BX12" s="40"/>
      <c r="BY12" s="40"/>
      <c r="BZ12" s="40"/>
      <c r="CA12" s="40"/>
      <c r="CB12" s="145"/>
      <c r="CC12" s="145"/>
      <c r="CD12" s="145"/>
      <c r="CE12" s="145"/>
      <c r="CF12" s="145"/>
      <c r="CG12" s="145"/>
      <c r="CH12" s="145"/>
      <c r="CI12" s="145"/>
      <c r="CJ12" s="145"/>
      <c r="CK12" s="145"/>
      <c r="CL12" s="145"/>
      <c r="CM12" s="145"/>
      <c r="CN12" s="145"/>
      <c r="CO12" s="145"/>
      <c r="CP12" s="40"/>
      <c r="CQ12" s="57" t="s">
        <v>236</v>
      </c>
      <c r="CR12" s="15" t="s">
        <v>31</v>
      </c>
      <c r="CS12" s="147">
        <f t="shared" ca="1" si="0"/>
        <v>3.8649119653531585</v>
      </c>
      <c r="CT12" s="40"/>
      <c r="CU12" s="40"/>
      <c r="CV12" s="40"/>
      <c r="CW12" s="40"/>
      <c r="CX12" s="40"/>
      <c r="CY12" s="40"/>
      <c r="CZ12" s="145"/>
      <c r="DA12" s="145"/>
      <c r="DB12" s="145"/>
      <c r="DC12" s="145"/>
      <c r="DD12" s="145"/>
      <c r="DE12" s="145"/>
      <c r="DF12" s="145"/>
      <c r="DG12" s="145"/>
      <c r="DH12" s="145"/>
      <c r="DI12" s="145"/>
      <c r="DJ12" s="145"/>
      <c r="DK12" s="145"/>
      <c r="DL12" s="145"/>
      <c r="DM12" s="145"/>
      <c r="DN12" s="40"/>
      <c r="DO12" s="55" t="s">
        <v>235</v>
      </c>
      <c r="DP12" s="15" t="s">
        <v>187</v>
      </c>
      <c r="DQ12" s="153">
        <f t="shared" ca="1" si="2"/>
        <v>9.3591249621754624</v>
      </c>
      <c r="DR12" s="40"/>
      <c r="DS12" s="40"/>
      <c r="DT12" s="40"/>
      <c r="DU12" s="40"/>
      <c r="DV12" s="40"/>
      <c r="DW12" s="145"/>
      <c r="DX12" s="145"/>
      <c r="DY12" s="145"/>
      <c r="DZ12" s="145"/>
      <c r="EA12" s="145"/>
      <c r="EB12" s="145"/>
      <c r="EC12" s="145"/>
      <c r="ED12" s="145"/>
      <c r="EE12" s="145"/>
      <c r="EF12" s="145"/>
      <c r="EG12" s="145"/>
      <c r="EH12" s="145"/>
      <c r="EI12" s="145"/>
      <c r="EJ12" s="145"/>
      <c r="EK12" s="40"/>
      <c r="EL12" s="159" t="s">
        <v>234</v>
      </c>
      <c r="EM12" s="47" t="s">
        <v>25</v>
      </c>
      <c r="EN12" s="147">
        <f t="shared" ca="1" si="3"/>
        <v>6.596495568792613</v>
      </c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</row>
    <row r="13" spans="1:164" s="121" customFormat="1" ht="15.75" thickBot="1" x14ac:dyDescent="0.3">
      <c r="A13" s="40"/>
      <c r="B13" s="40"/>
      <c r="C13" s="181"/>
      <c r="D13" s="181"/>
      <c r="E13" s="181"/>
      <c r="F13" s="181"/>
      <c r="G13" s="181"/>
      <c r="H13" s="181"/>
      <c r="I13" s="181"/>
      <c r="J13" s="40"/>
      <c r="K13" s="40"/>
      <c r="L13" s="40"/>
      <c r="M13" s="181"/>
      <c r="N13" s="181"/>
      <c r="O13" s="181"/>
      <c r="P13" s="181"/>
      <c r="Q13" s="181"/>
      <c r="R13" s="181"/>
      <c r="S13" s="181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145"/>
      <c r="BF13" s="145"/>
      <c r="BG13" s="145"/>
      <c r="BH13" s="145"/>
      <c r="BI13" s="145"/>
      <c r="BJ13" s="145"/>
      <c r="BK13" s="145"/>
      <c r="BL13" s="145"/>
      <c r="BM13" s="145"/>
      <c r="BN13" s="145"/>
      <c r="BO13" s="145"/>
      <c r="BP13" s="145"/>
      <c r="BQ13" s="145"/>
      <c r="BR13" s="40"/>
      <c r="BS13" s="54" t="s">
        <v>233</v>
      </c>
      <c r="BT13" s="15" t="s">
        <v>8</v>
      </c>
      <c r="BU13" s="147">
        <f t="shared" ca="1" si="1"/>
        <v>1.1994236788343218</v>
      </c>
      <c r="BV13" s="40"/>
      <c r="BW13" s="40"/>
      <c r="BX13" s="40"/>
      <c r="BY13" s="40"/>
      <c r="BZ13" s="40"/>
      <c r="CA13" s="40"/>
      <c r="CB13" s="145"/>
      <c r="CC13" s="145"/>
      <c r="CD13" s="145"/>
      <c r="CE13" s="145"/>
      <c r="CF13" s="145"/>
      <c r="CG13" s="145"/>
      <c r="CH13" s="145"/>
      <c r="CI13" s="145"/>
      <c r="CJ13" s="145"/>
      <c r="CK13" s="145"/>
      <c r="CL13" s="145"/>
      <c r="CM13" s="145"/>
      <c r="CN13" s="145"/>
      <c r="CO13" s="145"/>
      <c r="CP13" s="40"/>
      <c r="CQ13" s="57" t="s">
        <v>236</v>
      </c>
      <c r="CR13" s="15" t="s">
        <v>32</v>
      </c>
      <c r="CS13" s="147">
        <f t="shared" ca="1" si="0"/>
        <v>4.0220995365146113</v>
      </c>
      <c r="CT13" s="40"/>
      <c r="CU13" s="40"/>
      <c r="CV13" s="40"/>
      <c r="CW13" s="40"/>
      <c r="CX13" s="40"/>
      <c r="CY13" s="40"/>
      <c r="CZ13" s="145"/>
      <c r="DA13" s="145"/>
      <c r="DB13" s="145"/>
      <c r="DC13" s="145"/>
      <c r="DD13" s="145"/>
      <c r="DE13" s="145"/>
      <c r="DF13" s="145"/>
      <c r="DG13" s="145"/>
      <c r="DH13" s="145"/>
      <c r="DI13" s="145"/>
      <c r="DJ13" s="145"/>
      <c r="DK13" s="145"/>
      <c r="DL13" s="145"/>
      <c r="DM13" s="145"/>
      <c r="DN13" s="40"/>
      <c r="DO13" s="156" t="s">
        <v>235</v>
      </c>
      <c r="DP13" s="47" t="s">
        <v>18</v>
      </c>
      <c r="DQ13" s="157">
        <f t="shared" ca="1" si="2"/>
        <v>3.1812833874959958</v>
      </c>
      <c r="DR13" s="40"/>
      <c r="DS13" s="40"/>
      <c r="DT13" s="40"/>
      <c r="DU13" s="40"/>
      <c r="DV13" s="40"/>
      <c r="DW13" s="145"/>
      <c r="DX13" s="145"/>
      <c r="DY13" s="145"/>
      <c r="DZ13" s="145"/>
      <c r="EA13" s="145"/>
      <c r="EB13" s="145"/>
      <c r="EC13" s="145"/>
      <c r="ED13" s="145"/>
      <c r="EE13" s="145"/>
      <c r="EF13" s="145"/>
      <c r="EG13" s="145"/>
      <c r="EH13" s="145"/>
      <c r="EI13" s="145"/>
      <c r="EJ13" s="145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</row>
    <row r="14" spans="1:164" s="121" customFormat="1" ht="15.75" thickBot="1" x14ac:dyDescent="0.3">
      <c r="A14" s="40"/>
      <c r="B14" s="40"/>
      <c r="C14" s="181"/>
      <c r="D14" s="181"/>
      <c r="E14" s="181"/>
      <c r="F14" s="181"/>
      <c r="G14" s="181"/>
      <c r="H14" s="181"/>
      <c r="I14" s="181"/>
      <c r="J14" s="40"/>
      <c r="K14" s="40"/>
      <c r="L14" s="40"/>
      <c r="M14" s="181"/>
      <c r="N14" s="181"/>
      <c r="O14" s="181"/>
      <c r="P14" s="181"/>
      <c r="Q14" s="181"/>
      <c r="R14" s="181"/>
      <c r="S14" s="181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145"/>
      <c r="BF14" s="145"/>
      <c r="BG14" s="145"/>
      <c r="BH14" s="145"/>
      <c r="BI14" s="145"/>
      <c r="BJ14" s="145"/>
      <c r="BK14" s="145"/>
      <c r="BL14" s="145"/>
      <c r="BM14" s="145"/>
      <c r="BN14" s="145"/>
      <c r="BO14" s="145"/>
      <c r="BP14" s="145"/>
      <c r="BQ14" s="145"/>
      <c r="BR14" s="40"/>
      <c r="BS14" s="54" t="s">
        <v>233</v>
      </c>
      <c r="BT14" s="38" t="s">
        <v>9</v>
      </c>
      <c r="BU14" s="147">
        <f t="shared" ca="1" si="1"/>
        <v>2.3443237561693753</v>
      </c>
      <c r="BV14" s="40"/>
      <c r="BW14" s="40"/>
      <c r="BX14" s="40"/>
      <c r="BY14" s="40"/>
      <c r="BZ14" s="40"/>
      <c r="CA14" s="40"/>
      <c r="CB14" s="145"/>
      <c r="CC14" s="145"/>
      <c r="CD14" s="145"/>
      <c r="CE14" s="145"/>
      <c r="CF14" s="145"/>
      <c r="CG14" s="145"/>
      <c r="CH14" s="145"/>
      <c r="CI14" s="145"/>
      <c r="CJ14" s="145"/>
      <c r="CK14" s="145"/>
      <c r="CL14" s="145"/>
      <c r="CM14" s="145"/>
      <c r="CN14" s="145"/>
      <c r="CO14" s="145"/>
      <c r="CP14" s="40"/>
      <c r="CQ14" s="57" t="s">
        <v>236</v>
      </c>
      <c r="CR14" s="15" t="s">
        <v>33</v>
      </c>
      <c r="CS14" s="147">
        <f t="shared" ca="1" si="0"/>
        <v>1.9216499500889408</v>
      </c>
      <c r="CT14" s="40"/>
      <c r="CU14" s="40"/>
      <c r="CV14" s="40"/>
      <c r="CW14" s="40"/>
      <c r="CX14" s="40"/>
      <c r="CY14" s="40"/>
      <c r="CZ14" s="145"/>
      <c r="DA14" s="145"/>
      <c r="DB14" s="145"/>
      <c r="DC14" s="145"/>
      <c r="DD14" s="145"/>
      <c r="DE14" s="145"/>
      <c r="DF14" s="145"/>
      <c r="DG14" s="145"/>
      <c r="DH14" s="145"/>
      <c r="DI14" s="145"/>
      <c r="DJ14" s="145"/>
      <c r="DK14" s="145"/>
      <c r="DL14" s="145"/>
      <c r="DM14" s="145"/>
      <c r="DN14" s="40"/>
      <c r="DO14" s="40"/>
      <c r="DP14" s="40"/>
      <c r="DQ14" s="40"/>
      <c r="DR14" s="40"/>
      <c r="DS14" s="40"/>
      <c r="DT14" s="40"/>
      <c r="DU14" s="40"/>
      <c r="DV14" s="40"/>
      <c r="DW14" s="145"/>
      <c r="DX14" s="145"/>
      <c r="DY14" s="145"/>
      <c r="DZ14" s="145"/>
      <c r="EA14" s="145"/>
      <c r="EB14" s="145"/>
      <c r="EC14" s="145"/>
      <c r="ED14" s="145"/>
      <c r="EE14" s="145"/>
      <c r="EF14" s="145"/>
      <c r="EG14" s="145"/>
      <c r="EH14" s="145"/>
      <c r="EI14" s="145"/>
      <c r="EJ14" s="145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</row>
    <row r="15" spans="1:164" s="121" customFormat="1" ht="15.75" thickBot="1" x14ac:dyDescent="0.3">
      <c r="A15" s="40"/>
      <c r="B15" s="40"/>
      <c r="C15" s="181"/>
      <c r="D15" s="181"/>
      <c r="E15" s="181"/>
      <c r="F15" s="181"/>
      <c r="G15" s="181"/>
      <c r="H15" s="181"/>
      <c r="I15" s="181"/>
      <c r="J15" s="40"/>
      <c r="K15" s="40"/>
      <c r="L15" s="40"/>
      <c r="M15" s="181"/>
      <c r="N15" s="181"/>
      <c r="O15" s="181"/>
      <c r="P15" s="181"/>
      <c r="Q15" s="181"/>
      <c r="R15" s="181"/>
      <c r="S15" s="181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145"/>
      <c r="BF15" s="145"/>
      <c r="BG15" s="145"/>
      <c r="BH15" s="145"/>
      <c r="BI15" s="145"/>
      <c r="BJ15" s="145"/>
      <c r="BK15" s="145"/>
      <c r="BL15" s="145"/>
      <c r="BM15" s="145"/>
      <c r="BN15" s="145"/>
      <c r="BO15" s="145"/>
      <c r="BP15" s="145"/>
      <c r="BQ15" s="145"/>
      <c r="BR15" s="40"/>
      <c r="BS15" s="54" t="s">
        <v>233</v>
      </c>
      <c r="BT15" s="15" t="s">
        <v>10</v>
      </c>
      <c r="BU15" s="147">
        <f t="shared" ca="1" si="1"/>
        <v>5.1923909154818046</v>
      </c>
      <c r="BV15" s="40"/>
      <c r="BW15" s="40"/>
      <c r="BX15" s="40"/>
      <c r="BY15" s="40"/>
      <c r="BZ15" s="40"/>
      <c r="CA15" s="40"/>
      <c r="CB15" s="145"/>
      <c r="CC15" s="145"/>
      <c r="CD15" s="145"/>
      <c r="CE15" s="145"/>
      <c r="CF15" s="145"/>
      <c r="CG15" s="145"/>
      <c r="CH15" s="145"/>
      <c r="CI15" s="145"/>
      <c r="CJ15" s="145"/>
      <c r="CK15" s="145"/>
      <c r="CL15" s="145"/>
      <c r="CM15" s="145"/>
      <c r="CN15" s="145"/>
      <c r="CO15" s="145"/>
      <c r="CP15" s="40"/>
      <c r="CQ15" s="58" t="s">
        <v>236</v>
      </c>
      <c r="CR15" s="47" t="s">
        <v>35</v>
      </c>
      <c r="CS15" s="151">
        <f t="shared" ca="1" si="0"/>
        <v>1.2415390799338455</v>
      </c>
      <c r="CT15" s="40"/>
      <c r="CU15" s="40"/>
      <c r="CV15" s="40"/>
      <c r="CW15" s="40"/>
      <c r="CX15" s="40"/>
      <c r="CY15" s="40"/>
      <c r="CZ15" s="145"/>
      <c r="DA15" s="145"/>
      <c r="DB15" s="145"/>
      <c r="DC15" s="145"/>
      <c r="DD15" s="145"/>
      <c r="DE15" s="145"/>
      <c r="DF15" s="145"/>
      <c r="DG15" s="145"/>
      <c r="DH15" s="145"/>
      <c r="DI15" s="145"/>
      <c r="DJ15" s="145"/>
      <c r="DK15" s="145"/>
      <c r="DL15" s="145"/>
      <c r="DM15" s="145"/>
      <c r="DN15" s="40"/>
      <c r="DO15" s="40"/>
      <c r="DP15" s="40"/>
      <c r="DQ15" s="40"/>
      <c r="DR15" s="40"/>
      <c r="DS15" s="40"/>
      <c r="DT15" s="40"/>
      <c r="DU15" s="40"/>
      <c r="DV15" s="40"/>
      <c r="DW15" s="145"/>
      <c r="DX15" s="145"/>
      <c r="DY15" s="145"/>
      <c r="DZ15" s="145"/>
      <c r="EA15" s="145"/>
      <c r="EB15" s="145"/>
      <c r="EC15" s="145"/>
      <c r="ED15" s="145"/>
      <c r="EE15" s="145"/>
      <c r="EF15" s="145"/>
      <c r="EG15" s="145"/>
      <c r="EH15" s="145"/>
      <c r="EI15" s="145"/>
      <c r="EJ15" s="145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</row>
    <row r="16" spans="1:164" s="121" customFormat="1" ht="15.75" thickBot="1" x14ac:dyDescent="0.3">
      <c r="A16" s="40"/>
      <c r="B16" s="40"/>
      <c r="C16" s="181"/>
      <c r="D16" s="181"/>
      <c r="E16" s="181"/>
      <c r="F16" s="181"/>
      <c r="G16" s="181"/>
      <c r="H16" s="181"/>
      <c r="I16" s="181"/>
      <c r="J16" s="40"/>
      <c r="K16" s="40"/>
      <c r="L16" s="40"/>
      <c r="M16" s="181"/>
      <c r="N16" s="181"/>
      <c r="O16" s="181"/>
      <c r="P16" s="181"/>
      <c r="Q16" s="181"/>
      <c r="R16" s="181"/>
      <c r="S16" s="181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145"/>
      <c r="BF16" s="145"/>
      <c r="BG16" s="145"/>
      <c r="BH16" s="145"/>
      <c r="BI16" s="145"/>
      <c r="BJ16" s="145"/>
      <c r="BK16" s="145"/>
      <c r="BL16" s="145"/>
      <c r="BM16" s="145"/>
      <c r="BN16" s="145"/>
      <c r="BO16" s="145"/>
      <c r="BP16" s="145"/>
      <c r="BQ16" s="145"/>
      <c r="BR16" s="40"/>
      <c r="BS16" s="54" t="s">
        <v>233</v>
      </c>
      <c r="BT16" s="15" t="s">
        <v>12</v>
      </c>
      <c r="BU16" s="147">
        <f t="shared" ca="1" si="1"/>
        <v>2.8065487594813225</v>
      </c>
      <c r="BV16" s="40"/>
      <c r="BW16" s="40"/>
      <c r="BX16" s="40"/>
      <c r="BY16" s="40"/>
      <c r="BZ16" s="40"/>
      <c r="CA16" s="40"/>
      <c r="CB16" s="145"/>
      <c r="CC16" s="145"/>
      <c r="CD16" s="145"/>
      <c r="CE16" s="145"/>
      <c r="CF16" s="145"/>
      <c r="CG16" s="145"/>
      <c r="CH16" s="145"/>
      <c r="CI16" s="145"/>
      <c r="CJ16" s="145"/>
      <c r="CK16" s="145"/>
      <c r="CL16" s="145"/>
      <c r="CM16" s="145"/>
      <c r="CN16" s="145"/>
      <c r="CO16" s="145"/>
      <c r="CP16" s="40"/>
      <c r="CQ16" s="40"/>
      <c r="CR16" s="40"/>
      <c r="CS16" s="40"/>
      <c r="CT16" s="40"/>
      <c r="CU16" s="40"/>
      <c r="CV16" s="40"/>
      <c r="CW16" s="40"/>
      <c r="CX16" s="40"/>
      <c r="CY16" s="40"/>
      <c r="CZ16" s="145"/>
      <c r="DA16" s="145"/>
      <c r="DB16" s="145"/>
      <c r="DC16" s="145"/>
      <c r="DD16" s="145"/>
      <c r="DE16" s="145"/>
      <c r="DF16" s="145"/>
      <c r="DG16" s="145"/>
      <c r="DH16" s="145"/>
      <c r="DI16" s="145"/>
      <c r="DJ16" s="145"/>
      <c r="DK16" s="145"/>
      <c r="DL16" s="145"/>
      <c r="DM16" s="145"/>
      <c r="DN16" s="40"/>
      <c r="DO16" s="40"/>
      <c r="DP16" s="40"/>
      <c r="DQ16" s="40"/>
      <c r="DR16" s="40"/>
      <c r="DS16" s="40"/>
      <c r="DT16" s="40"/>
      <c r="DU16" s="40"/>
      <c r="DV16" s="40"/>
      <c r="DW16" s="145"/>
      <c r="DX16" s="145"/>
      <c r="DY16" s="145"/>
      <c r="DZ16" s="145"/>
      <c r="EA16" s="145"/>
      <c r="EB16" s="145"/>
      <c r="EC16" s="145"/>
      <c r="ED16" s="145"/>
      <c r="EE16" s="145"/>
      <c r="EF16" s="145"/>
      <c r="EG16" s="145"/>
      <c r="EH16" s="145"/>
      <c r="EI16" s="145"/>
      <c r="EJ16" s="145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  <c r="FE16" s="40"/>
      <c r="FF16" s="40"/>
      <c r="FG16" s="40"/>
      <c r="FH16" s="40"/>
    </row>
    <row r="17" spans="1:164" s="121" customFormat="1" ht="15.75" thickBot="1" x14ac:dyDescent="0.3">
      <c r="A17" s="40"/>
      <c r="B17" s="40"/>
      <c r="C17" s="181"/>
      <c r="D17" s="181"/>
      <c r="E17" s="181"/>
      <c r="F17" s="181"/>
      <c r="G17" s="181"/>
      <c r="H17" s="181"/>
      <c r="I17" s="181"/>
      <c r="J17" s="40"/>
      <c r="K17" s="40"/>
      <c r="L17" s="40"/>
      <c r="M17" s="181"/>
      <c r="N17" s="181"/>
      <c r="O17" s="181"/>
      <c r="P17" s="181"/>
      <c r="Q17" s="181"/>
      <c r="R17" s="181"/>
      <c r="S17" s="181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145"/>
      <c r="BF17" s="145"/>
      <c r="BG17" s="145"/>
      <c r="BH17" s="145"/>
      <c r="BI17" s="145"/>
      <c r="BJ17" s="145"/>
      <c r="BK17" s="145"/>
      <c r="BL17" s="145"/>
      <c r="BM17" s="145"/>
      <c r="BN17" s="145"/>
      <c r="BO17" s="145"/>
      <c r="BP17" s="145"/>
      <c r="BQ17" s="145"/>
      <c r="BR17" s="40"/>
      <c r="BS17" s="150" t="s">
        <v>233</v>
      </c>
      <c r="BT17" s="47" t="s">
        <v>11</v>
      </c>
      <c r="BU17" s="151">
        <f t="shared" ca="1" si="1"/>
        <v>5.6140911497003474</v>
      </c>
      <c r="BV17" s="40"/>
      <c r="BW17" s="40"/>
      <c r="BX17" s="40"/>
      <c r="BY17" s="40"/>
      <c r="BZ17" s="40"/>
      <c r="CA17" s="40"/>
      <c r="CB17" s="145"/>
      <c r="CC17" s="145"/>
      <c r="CD17" s="145"/>
      <c r="CE17" s="145"/>
      <c r="CF17" s="145"/>
      <c r="CG17" s="145"/>
      <c r="CH17" s="145"/>
      <c r="CI17" s="145"/>
      <c r="CJ17" s="145"/>
      <c r="CK17" s="145"/>
      <c r="CL17" s="145"/>
      <c r="CM17" s="145"/>
      <c r="CN17" s="145"/>
      <c r="CO17" s="145"/>
      <c r="CP17" s="40"/>
      <c r="CQ17" s="40"/>
      <c r="CR17" s="40"/>
      <c r="CS17" s="40"/>
      <c r="CT17" s="40"/>
      <c r="CU17" s="40"/>
      <c r="CV17" s="40"/>
      <c r="CW17" s="40"/>
      <c r="CX17" s="40"/>
      <c r="CY17" s="40"/>
      <c r="CZ17" s="145"/>
      <c r="DA17" s="145"/>
      <c r="DB17" s="145"/>
      <c r="DC17" s="145"/>
      <c r="DD17" s="145"/>
      <c r="DE17" s="145"/>
      <c r="DF17" s="145"/>
      <c r="DG17" s="145"/>
      <c r="DH17" s="145"/>
      <c r="DI17" s="145"/>
      <c r="DJ17" s="145"/>
      <c r="DK17" s="145"/>
      <c r="DL17" s="145"/>
      <c r="DM17" s="145"/>
      <c r="DN17" s="40"/>
      <c r="DO17" s="40"/>
      <c r="DP17" s="40"/>
      <c r="DQ17" s="40"/>
      <c r="DR17" s="40"/>
      <c r="DS17" s="40"/>
      <c r="DT17" s="40"/>
      <c r="DU17" s="40"/>
      <c r="DV17" s="40"/>
      <c r="DW17" s="145"/>
      <c r="DX17" s="145"/>
      <c r="DY17" s="145"/>
      <c r="DZ17" s="145"/>
      <c r="EA17" s="145"/>
      <c r="EB17" s="145"/>
      <c r="EC17" s="145"/>
      <c r="ED17" s="145"/>
      <c r="EE17" s="145"/>
      <c r="EF17" s="145"/>
      <c r="EG17" s="145"/>
      <c r="EH17" s="145"/>
      <c r="EI17" s="145"/>
      <c r="EJ17" s="145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</row>
    <row r="18" spans="1:164" s="121" customFormat="1" x14ac:dyDescent="0.25">
      <c r="A18" s="40"/>
      <c r="B18" s="40"/>
      <c r="C18" s="181"/>
      <c r="D18" s="181"/>
      <c r="E18" s="181"/>
      <c r="F18" s="181"/>
      <c r="G18" s="181"/>
      <c r="H18" s="181"/>
      <c r="I18" s="181"/>
      <c r="J18" s="40"/>
      <c r="K18" s="40"/>
      <c r="L18" s="40"/>
      <c r="M18" s="181"/>
      <c r="N18" s="181"/>
      <c r="O18" s="181"/>
      <c r="P18" s="181"/>
      <c r="Q18" s="181"/>
      <c r="R18" s="181"/>
      <c r="S18" s="181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145"/>
      <c r="BF18" s="145"/>
      <c r="BG18" s="145"/>
      <c r="BH18" s="145"/>
      <c r="BI18" s="145"/>
      <c r="BJ18" s="145"/>
      <c r="BK18" s="145"/>
      <c r="BL18" s="145"/>
      <c r="BM18" s="145"/>
      <c r="BN18" s="145"/>
      <c r="BO18" s="145"/>
      <c r="BP18" s="145"/>
      <c r="BQ18" s="145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145"/>
      <c r="CC18" s="145"/>
      <c r="CD18" s="145"/>
      <c r="CE18" s="145"/>
      <c r="CF18" s="145"/>
      <c r="CG18" s="145"/>
      <c r="CH18" s="145"/>
      <c r="CI18" s="145"/>
      <c r="CJ18" s="145"/>
      <c r="CK18" s="145"/>
      <c r="CL18" s="145"/>
      <c r="CM18" s="145"/>
      <c r="CN18" s="145"/>
      <c r="CO18" s="145"/>
      <c r="CP18" s="40"/>
      <c r="CQ18" s="40"/>
      <c r="CR18" s="40"/>
      <c r="CS18" s="40"/>
      <c r="CT18" s="40"/>
      <c r="CU18" s="40"/>
      <c r="CV18" s="40"/>
      <c r="CW18" s="40"/>
      <c r="CX18" s="40"/>
      <c r="CY18" s="40"/>
      <c r="CZ18" s="145"/>
      <c r="DA18" s="145"/>
      <c r="DB18" s="145"/>
      <c r="DC18" s="145"/>
      <c r="DD18" s="145"/>
      <c r="DE18" s="145"/>
      <c r="DF18" s="145"/>
      <c r="DG18" s="145"/>
      <c r="DH18" s="145"/>
      <c r="DI18" s="145"/>
      <c r="DJ18" s="145"/>
      <c r="DK18" s="145"/>
      <c r="DL18" s="145"/>
      <c r="DM18" s="145"/>
      <c r="DN18" s="40"/>
      <c r="DO18" s="40"/>
      <c r="DP18" s="40"/>
      <c r="DQ18" s="40"/>
      <c r="DR18" s="40"/>
      <c r="DS18" s="40"/>
      <c r="DT18" s="40"/>
      <c r="DU18" s="40"/>
      <c r="DV18" s="40"/>
      <c r="DW18" s="145"/>
      <c r="DX18" s="145"/>
      <c r="DY18" s="145"/>
      <c r="DZ18" s="145"/>
      <c r="EA18" s="145"/>
      <c r="EB18" s="145"/>
      <c r="EC18" s="145"/>
      <c r="ED18" s="145"/>
      <c r="EE18" s="145"/>
      <c r="EF18" s="145"/>
      <c r="EG18" s="145"/>
      <c r="EH18" s="145"/>
      <c r="EI18" s="145"/>
      <c r="EJ18" s="145"/>
      <c r="EK18" s="40"/>
      <c r="EL18" s="40"/>
      <c r="EM18" s="40"/>
      <c r="EN18" s="40"/>
      <c r="EO18" s="40"/>
      <c r="EP18" s="40"/>
      <c r="EQ18" s="40"/>
      <c r="ER18" s="40"/>
      <c r="ES18" s="40"/>
      <c r="ET18" s="40"/>
      <c r="EU18" s="40"/>
      <c r="EV18" s="40"/>
      <c r="EW18" s="40"/>
      <c r="EX18" s="40"/>
      <c r="EY18" s="40"/>
      <c r="EZ18" s="40"/>
      <c r="FA18" s="40"/>
      <c r="FB18" s="40"/>
      <c r="FC18" s="40"/>
      <c r="FD18" s="40"/>
      <c r="FE18" s="40"/>
      <c r="FF18" s="40"/>
      <c r="FG18" s="40"/>
      <c r="FH18" s="40"/>
    </row>
    <row r="19" spans="1:164" s="121" customFormat="1" x14ac:dyDescent="0.25">
      <c r="A19" s="40"/>
      <c r="B19" s="40"/>
      <c r="C19" s="181"/>
      <c r="D19" s="181"/>
      <c r="E19" s="181"/>
      <c r="F19" s="181"/>
      <c r="G19" s="181"/>
      <c r="H19" s="181"/>
      <c r="I19" s="181"/>
      <c r="J19" s="40"/>
      <c r="K19" s="40"/>
      <c r="L19" s="40"/>
      <c r="M19" s="181"/>
      <c r="N19" s="181"/>
      <c r="O19" s="181"/>
      <c r="P19" s="181"/>
      <c r="Q19" s="181"/>
      <c r="R19" s="181"/>
      <c r="S19" s="181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145"/>
      <c r="BF19" s="145"/>
      <c r="BG19" s="145"/>
      <c r="BH19" s="145"/>
      <c r="BI19" s="145"/>
      <c r="BJ19" s="145"/>
      <c r="BK19" s="145"/>
      <c r="BL19" s="145"/>
      <c r="BM19" s="145"/>
      <c r="BN19" s="145"/>
      <c r="BO19" s="145"/>
      <c r="BP19" s="145"/>
      <c r="BQ19" s="145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145"/>
      <c r="CC19" s="145"/>
      <c r="CD19" s="145"/>
      <c r="CE19" s="145"/>
      <c r="CF19" s="145"/>
      <c r="CG19" s="145"/>
      <c r="CH19" s="145"/>
      <c r="CI19" s="145"/>
      <c r="CJ19" s="145"/>
      <c r="CK19" s="145"/>
      <c r="CL19" s="145"/>
      <c r="CM19" s="145"/>
      <c r="CN19" s="145"/>
      <c r="CO19" s="145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145"/>
      <c r="DA19" s="145"/>
      <c r="DB19" s="145"/>
      <c r="DC19" s="145"/>
      <c r="DD19" s="145"/>
      <c r="DE19" s="145"/>
      <c r="DF19" s="145"/>
      <c r="DG19" s="145"/>
      <c r="DH19" s="145"/>
      <c r="DI19" s="145"/>
      <c r="DJ19" s="145"/>
      <c r="DK19" s="145"/>
      <c r="DL19" s="145"/>
      <c r="DM19" s="145"/>
      <c r="DN19" s="40"/>
      <c r="DO19" s="40"/>
      <c r="DP19" s="40"/>
      <c r="DQ19" s="40"/>
      <c r="DR19" s="40"/>
      <c r="DS19" s="40"/>
      <c r="DT19" s="40"/>
      <c r="DU19" s="40"/>
      <c r="DV19" s="40"/>
      <c r="DW19" s="145"/>
      <c r="DX19" s="145"/>
      <c r="DY19" s="145"/>
      <c r="DZ19" s="145"/>
      <c r="EA19" s="145"/>
      <c r="EB19" s="145"/>
      <c r="EC19" s="145"/>
      <c r="ED19" s="145"/>
      <c r="EE19" s="145"/>
      <c r="EF19" s="145"/>
      <c r="EG19" s="145"/>
      <c r="EH19" s="145"/>
      <c r="EI19" s="145"/>
      <c r="EJ19" s="145"/>
      <c r="EK19" s="40"/>
      <c r="EL19" s="40"/>
      <c r="EM19" s="40"/>
      <c r="EN19" s="40"/>
      <c r="EO19" s="40"/>
      <c r="EP19" s="40"/>
      <c r="EQ19" s="40"/>
      <c r="ER19" s="40"/>
      <c r="ES19" s="40"/>
      <c r="ET19" s="40"/>
      <c r="EU19" s="40"/>
      <c r="EV19" s="40"/>
      <c r="EW19" s="40"/>
      <c r="EX19" s="40"/>
      <c r="EY19" s="40"/>
      <c r="EZ19" s="40"/>
      <c r="FA19" s="40"/>
      <c r="FB19" s="40"/>
      <c r="FC19" s="40"/>
      <c r="FD19" s="40"/>
      <c r="FE19" s="40"/>
      <c r="FF19" s="40"/>
      <c r="FG19" s="40"/>
      <c r="FH19" s="40"/>
    </row>
    <row r="20" spans="1:164" s="121" customFormat="1" x14ac:dyDescent="0.25">
      <c r="A20" s="40"/>
      <c r="B20" s="40"/>
      <c r="C20" s="181"/>
      <c r="D20" s="181"/>
      <c r="E20" s="181"/>
      <c r="F20" s="181"/>
      <c r="G20" s="181"/>
      <c r="H20" s="181"/>
      <c r="I20" s="181"/>
      <c r="J20" s="40"/>
      <c r="K20" s="40"/>
      <c r="L20" s="40"/>
      <c r="M20" s="181"/>
      <c r="N20" s="181"/>
      <c r="O20" s="181"/>
      <c r="P20" s="181"/>
      <c r="Q20" s="181"/>
      <c r="R20" s="181"/>
      <c r="S20" s="181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145"/>
      <c r="BF20" s="145"/>
      <c r="BG20" s="145"/>
      <c r="BH20" s="145"/>
      <c r="BI20" s="145"/>
      <c r="BJ20" s="145"/>
      <c r="BK20" s="145"/>
      <c r="BL20" s="145"/>
      <c r="BM20" s="145"/>
      <c r="BN20" s="145"/>
      <c r="BO20" s="145"/>
      <c r="BP20" s="145"/>
      <c r="BQ20" s="145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145"/>
      <c r="CC20" s="145"/>
      <c r="CD20" s="145"/>
      <c r="CE20" s="145"/>
      <c r="CF20" s="145"/>
      <c r="CG20" s="145"/>
      <c r="CH20" s="145"/>
      <c r="CI20" s="145"/>
      <c r="CJ20" s="145"/>
      <c r="CK20" s="145"/>
      <c r="CL20" s="145"/>
      <c r="CM20" s="145"/>
      <c r="CN20" s="145"/>
      <c r="CO20" s="145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145"/>
      <c r="DA20" s="145"/>
      <c r="DB20" s="145"/>
      <c r="DC20" s="145"/>
      <c r="DD20" s="145"/>
      <c r="DE20" s="145"/>
      <c r="DF20" s="145"/>
      <c r="DG20" s="145"/>
      <c r="DH20" s="145"/>
      <c r="DI20" s="145"/>
      <c r="DJ20" s="145"/>
      <c r="DK20" s="145"/>
      <c r="DL20" s="145"/>
      <c r="DM20" s="145"/>
      <c r="DN20" s="40"/>
      <c r="DO20" s="40"/>
      <c r="DP20" s="40"/>
      <c r="DQ20" s="40"/>
      <c r="DR20" s="40"/>
      <c r="DS20" s="40"/>
      <c r="DT20" s="40"/>
      <c r="DU20" s="40"/>
      <c r="DV20" s="40"/>
      <c r="DW20" s="145"/>
      <c r="DX20" s="145"/>
      <c r="DY20" s="145"/>
      <c r="DZ20" s="145"/>
      <c r="EA20" s="145"/>
      <c r="EB20" s="145"/>
      <c r="EC20" s="145"/>
      <c r="ED20" s="145"/>
      <c r="EE20" s="145"/>
      <c r="EF20" s="145"/>
      <c r="EG20" s="145"/>
      <c r="EH20" s="145"/>
      <c r="EI20" s="145"/>
      <c r="EJ20" s="145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  <c r="FE20" s="40"/>
      <c r="FF20" s="40"/>
      <c r="FG20" s="40"/>
      <c r="FH20" s="40"/>
    </row>
    <row r="21" spans="1:164" s="121" customFormat="1" x14ac:dyDescent="0.25">
      <c r="A21" s="40"/>
      <c r="B21" s="40"/>
      <c r="C21" s="181"/>
      <c r="D21" s="181"/>
      <c r="E21" s="181"/>
      <c r="F21" s="181"/>
      <c r="G21" s="181"/>
      <c r="H21" s="181"/>
      <c r="I21" s="181"/>
      <c r="J21" s="40"/>
      <c r="K21" s="40"/>
      <c r="L21" s="40"/>
      <c r="M21" s="181"/>
      <c r="N21" s="181"/>
      <c r="O21" s="181"/>
      <c r="P21" s="181"/>
      <c r="Q21" s="181"/>
      <c r="R21" s="181"/>
      <c r="S21" s="181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145"/>
      <c r="BF21" s="145"/>
      <c r="BG21" s="145"/>
      <c r="BH21" s="145"/>
      <c r="BI21" s="145"/>
      <c r="BJ21" s="145"/>
      <c r="BK21" s="145"/>
      <c r="BL21" s="145"/>
      <c r="BM21" s="145"/>
      <c r="BN21" s="145"/>
      <c r="BO21" s="145"/>
      <c r="BP21" s="145"/>
      <c r="BQ21" s="145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145"/>
      <c r="CC21" s="145"/>
      <c r="CD21" s="145"/>
      <c r="CE21" s="145"/>
      <c r="CF21" s="145"/>
      <c r="CG21" s="145"/>
      <c r="CH21" s="145"/>
      <c r="CI21" s="145"/>
      <c r="CJ21" s="145"/>
      <c r="CK21" s="145"/>
      <c r="CL21" s="145"/>
      <c r="CM21" s="145"/>
      <c r="CN21" s="145"/>
      <c r="CO21" s="145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145"/>
      <c r="DA21" s="145"/>
      <c r="DB21" s="145"/>
      <c r="DC21" s="145"/>
      <c r="DD21" s="145"/>
      <c r="DE21" s="145"/>
      <c r="DF21" s="145"/>
      <c r="DG21" s="145"/>
      <c r="DH21" s="145"/>
      <c r="DI21" s="145"/>
      <c r="DJ21" s="145"/>
      <c r="DK21" s="145"/>
      <c r="DL21" s="145"/>
      <c r="DM21" s="145"/>
      <c r="DN21" s="40"/>
      <c r="DO21" s="40"/>
      <c r="DP21" s="40"/>
      <c r="DQ21" s="40"/>
      <c r="DR21" s="40"/>
      <c r="DS21" s="40"/>
      <c r="DT21" s="40"/>
      <c r="DU21" s="40"/>
      <c r="DV21" s="40"/>
      <c r="DW21" s="145"/>
      <c r="DX21" s="145"/>
      <c r="DY21" s="145"/>
      <c r="DZ21" s="145"/>
      <c r="EA21" s="145"/>
      <c r="EB21" s="145"/>
      <c r="EC21" s="145"/>
      <c r="ED21" s="145"/>
      <c r="EE21" s="145"/>
      <c r="EF21" s="145"/>
      <c r="EG21" s="145"/>
      <c r="EH21" s="145"/>
      <c r="EI21" s="145"/>
      <c r="EJ21" s="145"/>
      <c r="EK21" s="40"/>
      <c r="EL21" s="40"/>
      <c r="EM21" s="40"/>
      <c r="EN21" s="40"/>
      <c r="EO21" s="40"/>
      <c r="EP21" s="40"/>
      <c r="EQ21" s="40"/>
      <c r="ER21" s="40"/>
      <c r="ES21" s="40"/>
      <c r="ET21" s="40"/>
      <c r="EU21" s="40"/>
      <c r="EV21" s="40"/>
      <c r="EW21" s="40"/>
      <c r="EX21" s="40"/>
      <c r="EY21" s="40"/>
      <c r="EZ21" s="40"/>
      <c r="FA21" s="40"/>
      <c r="FB21" s="40"/>
      <c r="FC21" s="40"/>
      <c r="FD21" s="40"/>
      <c r="FE21" s="40"/>
      <c r="FF21" s="40"/>
      <c r="FG21" s="40"/>
      <c r="FH21" s="40"/>
    </row>
    <row r="22" spans="1:164" s="121" customFormat="1" x14ac:dyDescent="0.25">
      <c r="A22" s="40"/>
      <c r="B22" s="40"/>
      <c r="C22" s="181"/>
      <c r="D22" s="181"/>
      <c r="E22" s="181"/>
      <c r="F22" s="181"/>
      <c r="G22" s="181"/>
      <c r="H22" s="181"/>
      <c r="I22" s="181"/>
      <c r="J22" s="40"/>
      <c r="K22" s="40"/>
      <c r="L22" s="40"/>
      <c r="M22" s="181"/>
      <c r="N22" s="181"/>
      <c r="O22" s="181"/>
      <c r="P22" s="181"/>
      <c r="Q22" s="181"/>
      <c r="R22" s="181"/>
      <c r="S22" s="181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145"/>
      <c r="BF22" s="145"/>
      <c r="BG22" s="145"/>
      <c r="BH22" s="145"/>
      <c r="BI22" s="145"/>
      <c r="BJ22" s="145"/>
      <c r="BK22" s="145"/>
      <c r="BL22" s="145"/>
      <c r="BM22" s="145"/>
      <c r="BN22" s="145"/>
      <c r="BO22" s="145"/>
      <c r="BP22" s="145"/>
      <c r="BQ22" s="145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145"/>
      <c r="CC22" s="145"/>
      <c r="CD22" s="145"/>
      <c r="CE22" s="145"/>
      <c r="CF22" s="145"/>
      <c r="CG22" s="145"/>
      <c r="CH22" s="145"/>
      <c r="CI22" s="145"/>
      <c r="CJ22" s="145"/>
      <c r="CK22" s="145"/>
      <c r="CL22" s="145"/>
      <c r="CM22" s="145"/>
      <c r="CN22" s="145"/>
      <c r="CO22" s="145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145"/>
      <c r="DA22" s="145"/>
      <c r="DB22" s="145"/>
      <c r="DC22" s="145"/>
      <c r="DD22" s="145"/>
      <c r="DE22" s="145"/>
      <c r="DF22" s="145"/>
      <c r="DG22" s="145"/>
      <c r="DH22" s="145"/>
      <c r="DI22" s="145"/>
      <c r="DJ22" s="145"/>
      <c r="DK22" s="145"/>
      <c r="DL22" s="145"/>
      <c r="DM22" s="145"/>
      <c r="DN22" s="40"/>
      <c r="DO22" s="40"/>
      <c r="DP22" s="40"/>
      <c r="DQ22" s="40"/>
      <c r="DR22" s="40"/>
      <c r="DS22" s="40"/>
      <c r="DT22" s="40"/>
      <c r="DU22" s="40"/>
      <c r="DV22" s="40"/>
      <c r="DW22" s="145"/>
      <c r="DX22" s="145"/>
      <c r="DY22" s="145"/>
      <c r="DZ22" s="145"/>
      <c r="EA22" s="145"/>
      <c r="EB22" s="145"/>
      <c r="EC22" s="145"/>
      <c r="ED22" s="145"/>
      <c r="EE22" s="145"/>
      <c r="EF22" s="145"/>
      <c r="EG22" s="145"/>
      <c r="EH22" s="145"/>
      <c r="EI22" s="145"/>
      <c r="EJ22" s="145"/>
      <c r="EK22" s="40"/>
      <c r="EL22" s="40"/>
      <c r="EM22" s="40"/>
      <c r="EN22" s="40"/>
      <c r="EO22" s="40"/>
      <c r="EP22" s="40"/>
      <c r="EQ22" s="40"/>
      <c r="ER22" s="40"/>
      <c r="ES22" s="40"/>
      <c r="ET22" s="40"/>
      <c r="EU22" s="40"/>
      <c r="EV22" s="40"/>
      <c r="EW22" s="40"/>
      <c r="EX22" s="40"/>
      <c r="EY22" s="40"/>
      <c r="EZ22" s="40"/>
      <c r="FA22" s="40"/>
      <c r="FB22" s="40"/>
      <c r="FC22" s="40"/>
      <c r="FD22" s="40"/>
      <c r="FE22" s="40"/>
      <c r="FF22" s="40"/>
      <c r="FG22" s="40"/>
      <c r="FH22" s="40"/>
    </row>
    <row r="23" spans="1:164" s="121" customFormat="1" x14ac:dyDescent="0.25">
      <c r="A23" s="40"/>
      <c r="B23" s="40"/>
      <c r="C23" s="181"/>
      <c r="D23" s="181"/>
      <c r="E23" s="181"/>
      <c r="F23" s="181"/>
      <c r="G23" s="181"/>
      <c r="H23" s="181"/>
      <c r="I23" s="181"/>
      <c r="J23" s="40"/>
      <c r="K23" s="40"/>
      <c r="L23" s="40"/>
      <c r="M23" s="181"/>
      <c r="N23" s="181"/>
      <c r="O23" s="181"/>
      <c r="P23" s="181"/>
      <c r="Q23" s="181"/>
      <c r="R23" s="181"/>
      <c r="S23" s="181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145"/>
      <c r="BF23" s="145"/>
      <c r="BG23" s="145"/>
      <c r="BH23" s="145"/>
      <c r="BI23" s="145"/>
      <c r="BJ23" s="145"/>
      <c r="BK23" s="145"/>
      <c r="BL23" s="145"/>
      <c r="BM23" s="145"/>
      <c r="BN23" s="145"/>
      <c r="BO23" s="145"/>
      <c r="BP23" s="145"/>
      <c r="BQ23" s="145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145"/>
      <c r="CC23" s="145"/>
      <c r="CD23" s="145"/>
      <c r="CE23" s="145"/>
      <c r="CF23" s="145"/>
      <c r="CG23" s="145"/>
      <c r="CH23" s="145"/>
      <c r="CI23" s="145"/>
      <c r="CJ23" s="145"/>
      <c r="CK23" s="145"/>
      <c r="CL23" s="145"/>
      <c r="CM23" s="145"/>
      <c r="CN23" s="145"/>
      <c r="CO23" s="145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145"/>
      <c r="DA23" s="145"/>
      <c r="DB23" s="145"/>
      <c r="DC23" s="145"/>
      <c r="DD23" s="145"/>
      <c r="DE23" s="145"/>
      <c r="DF23" s="145"/>
      <c r="DG23" s="145"/>
      <c r="DH23" s="145"/>
      <c r="DI23" s="145"/>
      <c r="DJ23" s="145"/>
      <c r="DK23" s="145"/>
      <c r="DL23" s="145"/>
      <c r="DM23" s="145"/>
      <c r="DN23" s="40"/>
      <c r="DO23" s="40"/>
      <c r="DP23" s="40"/>
      <c r="DQ23" s="40"/>
      <c r="DR23" s="40"/>
      <c r="DS23" s="40"/>
      <c r="DT23" s="40"/>
      <c r="DU23" s="40"/>
      <c r="DV23" s="40"/>
      <c r="DW23" s="145"/>
      <c r="DX23" s="145"/>
      <c r="DY23" s="145"/>
      <c r="DZ23" s="145"/>
      <c r="EA23" s="145"/>
      <c r="EB23" s="145"/>
      <c r="EC23" s="145"/>
      <c r="ED23" s="145"/>
      <c r="EE23" s="145"/>
      <c r="EF23" s="145"/>
      <c r="EG23" s="145"/>
      <c r="EH23" s="145"/>
      <c r="EI23" s="145"/>
      <c r="EJ23" s="145"/>
      <c r="EK23" s="40"/>
      <c r="EL23" s="40"/>
      <c r="EM23" s="40"/>
      <c r="EN23" s="40"/>
      <c r="EO23" s="40"/>
      <c r="EP23" s="40"/>
      <c r="EQ23" s="40"/>
      <c r="ER23" s="40"/>
      <c r="ES23" s="40"/>
      <c r="ET23" s="40"/>
      <c r="EU23" s="40"/>
      <c r="EV23" s="40"/>
      <c r="EW23" s="40"/>
      <c r="EX23" s="40"/>
      <c r="EY23" s="40"/>
      <c r="EZ23" s="40"/>
      <c r="FA23" s="40"/>
      <c r="FB23" s="40"/>
      <c r="FC23" s="40"/>
      <c r="FD23" s="40"/>
      <c r="FE23" s="40"/>
      <c r="FF23" s="40"/>
      <c r="FG23" s="40"/>
      <c r="FH23" s="40"/>
    </row>
    <row r="24" spans="1:164" s="121" customFormat="1" x14ac:dyDescent="0.25">
      <c r="A24" s="40"/>
      <c r="B24" s="40"/>
      <c r="C24" s="181"/>
      <c r="D24" s="181"/>
      <c r="E24" s="181"/>
      <c r="F24" s="181"/>
      <c r="G24" s="181"/>
      <c r="H24" s="181"/>
      <c r="I24" s="181"/>
      <c r="J24" s="40"/>
      <c r="K24" s="40"/>
      <c r="L24" s="40"/>
      <c r="M24" s="181"/>
      <c r="N24" s="181"/>
      <c r="O24" s="181"/>
      <c r="P24" s="181"/>
      <c r="Q24" s="181"/>
      <c r="R24" s="181"/>
      <c r="S24" s="181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145"/>
      <c r="BF24" s="145"/>
      <c r="BG24" s="145"/>
      <c r="BH24" s="145"/>
      <c r="BI24" s="145"/>
      <c r="BJ24" s="145"/>
      <c r="BK24" s="145"/>
      <c r="BL24" s="145"/>
      <c r="BM24" s="145"/>
      <c r="BN24" s="145"/>
      <c r="BO24" s="145"/>
      <c r="BP24" s="145"/>
      <c r="BQ24" s="145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145"/>
      <c r="CC24" s="145"/>
      <c r="CD24" s="145"/>
      <c r="CE24" s="145"/>
      <c r="CF24" s="145"/>
      <c r="CG24" s="145"/>
      <c r="CH24" s="145"/>
      <c r="CI24" s="145"/>
      <c r="CJ24" s="145"/>
      <c r="CK24" s="145"/>
      <c r="CL24" s="145"/>
      <c r="CM24" s="145"/>
      <c r="CN24" s="145"/>
      <c r="CO24" s="145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145"/>
      <c r="DA24" s="145"/>
      <c r="DB24" s="145"/>
      <c r="DC24" s="145"/>
      <c r="DD24" s="145"/>
      <c r="DE24" s="145"/>
      <c r="DF24" s="145"/>
      <c r="DG24" s="145"/>
      <c r="DH24" s="145"/>
      <c r="DI24" s="145"/>
      <c r="DJ24" s="145"/>
      <c r="DK24" s="145"/>
      <c r="DL24" s="145"/>
      <c r="DM24" s="145"/>
      <c r="DN24" s="40"/>
      <c r="DO24" s="40"/>
      <c r="DP24" s="40"/>
      <c r="DQ24" s="40"/>
      <c r="DR24" s="40"/>
      <c r="DS24" s="40"/>
      <c r="DT24" s="40"/>
      <c r="DU24" s="40"/>
      <c r="DV24" s="40"/>
      <c r="DW24" s="145"/>
      <c r="DX24" s="145"/>
      <c r="DY24" s="145"/>
      <c r="DZ24" s="145"/>
      <c r="EA24" s="145"/>
      <c r="EB24" s="145"/>
      <c r="EC24" s="145"/>
      <c r="ED24" s="145"/>
      <c r="EE24" s="145"/>
      <c r="EF24" s="145"/>
      <c r="EG24" s="145"/>
      <c r="EH24" s="145"/>
      <c r="EI24" s="145"/>
      <c r="EJ24" s="145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</row>
    <row r="25" spans="1:164" s="121" customFormat="1" x14ac:dyDescent="0.25">
      <c r="A25" s="40"/>
      <c r="B25" s="40"/>
      <c r="C25" s="181"/>
      <c r="D25" s="181"/>
      <c r="E25" s="181"/>
      <c r="F25" s="181"/>
      <c r="G25" s="181"/>
      <c r="H25" s="181"/>
      <c r="I25" s="181"/>
      <c r="J25" s="40"/>
      <c r="K25" s="40"/>
      <c r="L25" s="40"/>
      <c r="M25" s="181"/>
      <c r="N25" s="181"/>
      <c r="O25" s="181"/>
      <c r="P25" s="181"/>
      <c r="Q25" s="181"/>
      <c r="R25" s="181"/>
      <c r="S25" s="181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145"/>
      <c r="BF25" s="145"/>
      <c r="BG25" s="145"/>
      <c r="BH25" s="145"/>
      <c r="BI25" s="145"/>
      <c r="BJ25" s="145"/>
      <c r="BK25" s="145"/>
      <c r="BL25" s="145"/>
      <c r="BM25" s="145"/>
      <c r="BN25" s="145"/>
      <c r="BO25" s="145"/>
      <c r="BP25" s="145"/>
      <c r="BQ25" s="145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145"/>
      <c r="CC25" s="145"/>
      <c r="CD25" s="145"/>
      <c r="CE25" s="145"/>
      <c r="CF25" s="145"/>
      <c r="CG25" s="145"/>
      <c r="CH25" s="145"/>
      <c r="CI25" s="145"/>
      <c r="CJ25" s="145"/>
      <c r="CK25" s="145"/>
      <c r="CL25" s="145"/>
      <c r="CM25" s="145"/>
      <c r="CN25" s="145"/>
      <c r="CO25" s="145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145"/>
      <c r="DA25" s="145"/>
      <c r="DB25" s="145"/>
      <c r="DC25" s="145"/>
      <c r="DD25" s="145"/>
      <c r="DE25" s="145"/>
      <c r="DF25" s="145"/>
      <c r="DG25" s="145"/>
      <c r="DH25" s="145"/>
      <c r="DI25" s="145"/>
      <c r="DJ25" s="145"/>
      <c r="DK25" s="145"/>
      <c r="DL25" s="145"/>
      <c r="DM25" s="145"/>
      <c r="DN25" s="40"/>
      <c r="DO25" s="40"/>
      <c r="DP25" s="40"/>
      <c r="DQ25" s="40"/>
      <c r="DR25" s="40"/>
      <c r="DS25" s="40"/>
      <c r="DT25" s="40"/>
      <c r="DU25" s="40"/>
      <c r="DV25" s="40"/>
      <c r="DW25" s="145"/>
      <c r="DX25" s="145"/>
      <c r="DY25" s="145"/>
      <c r="DZ25" s="145"/>
      <c r="EA25" s="145"/>
      <c r="EB25" s="145"/>
      <c r="EC25" s="145"/>
      <c r="ED25" s="145"/>
      <c r="EE25" s="145"/>
      <c r="EF25" s="145"/>
      <c r="EG25" s="145"/>
      <c r="EH25" s="145"/>
      <c r="EI25" s="145"/>
      <c r="EJ25" s="145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  <c r="FE25" s="40"/>
      <c r="FF25" s="40"/>
      <c r="FG25" s="40"/>
      <c r="FH25" s="40"/>
    </row>
    <row r="26" spans="1:164" s="121" customFormat="1" x14ac:dyDescent="0.25">
      <c r="A26" s="40"/>
      <c r="B26" s="40"/>
      <c r="C26" s="181"/>
      <c r="D26" s="181"/>
      <c r="E26" s="181"/>
      <c r="F26" s="181"/>
      <c r="G26" s="181"/>
      <c r="H26" s="181"/>
      <c r="I26" s="181"/>
      <c r="J26" s="40"/>
      <c r="K26" s="40"/>
      <c r="L26" s="40"/>
      <c r="M26" s="181"/>
      <c r="N26" s="181"/>
      <c r="O26" s="181"/>
      <c r="P26" s="181"/>
      <c r="Q26" s="181"/>
      <c r="R26" s="181"/>
      <c r="S26" s="181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145"/>
      <c r="BF26" s="145"/>
      <c r="BG26" s="145"/>
      <c r="BH26" s="145"/>
      <c r="BI26" s="145"/>
      <c r="BJ26" s="145"/>
      <c r="BK26" s="145"/>
      <c r="BL26" s="145"/>
      <c r="BM26" s="145"/>
      <c r="BN26" s="145"/>
      <c r="BO26" s="145"/>
      <c r="BP26" s="145"/>
      <c r="BQ26" s="145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145"/>
      <c r="CC26" s="145"/>
      <c r="CD26" s="145"/>
      <c r="CE26" s="145"/>
      <c r="CF26" s="145"/>
      <c r="CG26" s="145"/>
      <c r="CH26" s="145"/>
      <c r="CI26" s="145"/>
      <c r="CJ26" s="145"/>
      <c r="CK26" s="145"/>
      <c r="CL26" s="145"/>
      <c r="CM26" s="145"/>
      <c r="CN26" s="145"/>
      <c r="CO26" s="145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145"/>
      <c r="DA26" s="145"/>
      <c r="DB26" s="145"/>
      <c r="DC26" s="145"/>
      <c r="DD26" s="145"/>
      <c r="DE26" s="145"/>
      <c r="DF26" s="145"/>
      <c r="DG26" s="145"/>
      <c r="DH26" s="145"/>
      <c r="DI26" s="145"/>
      <c r="DJ26" s="145"/>
      <c r="DK26" s="145"/>
      <c r="DL26" s="145"/>
      <c r="DM26" s="145"/>
      <c r="DN26" s="40"/>
      <c r="DO26" s="40"/>
      <c r="DP26" s="40"/>
      <c r="DQ26" s="40"/>
      <c r="DR26" s="40"/>
      <c r="DS26" s="40"/>
      <c r="DT26" s="40"/>
      <c r="DU26" s="40"/>
      <c r="DV26" s="40"/>
      <c r="DW26" s="145"/>
      <c r="DX26" s="145"/>
      <c r="DY26" s="145"/>
      <c r="DZ26" s="145"/>
      <c r="EA26" s="145"/>
      <c r="EB26" s="145"/>
      <c r="EC26" s="145"/>
      <c r="ED26" s="145"/>
      <c r="EE26" s="145"/>
      <c r="EF26" s="145"/>
      <c r="EG26" s="145"/>
      <c r="EH26" s="145"/>
      <c r="EI26" s="145"/>
      <c r="EJ26" s="145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</row>
    <row r="27" spans="1:164" s="121" customFormat="1" x14ac:dyDescent="0.25">
      <c r="A27" s="40"/>
      <c r="B27" s="40"/>
      <c r="C27" s="181"/>
      <c r="D27" s="181"/>
      <c r="E27" s="181"/>
      <c r="F27" s="181"/>
      <c r="G27" s="181"/>
      <c r="H27" s="181"/>
      <c r="I27" s="181"/>
      <c r="J27" s="40"/>
      <c r="K27" s="40"/>
      <c r="L27" s="40"/>
      <c r="M27" s="181"/>
      <c r="N27" s="181"/>
      <c r="O27" s="181"/>
      <c r="P27" s="181"/>
      <c r="Q27" s="181"/>
      <c r="R27" s="181"/>
      <c r="S27" s="181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145"/>
      <c r="BF27" s="145"/>
      <c r="BG27" s="145"/>
      <c r="BH27" s="145"/>
      <c r="BI27" s="145"/>
      <c r="BJ27" s="145"/>
      <c r="BK27" s="145"/>
      <c r="BL27" s="145"/>
      <c r="BM27" s="145"/>
      <c r="BN27" s="145"/>
      <c r="BO27" s="145"/>
      <c r="BP27" s="145"/>
      <c r="BQ27" s="145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145"/>
      <c r="CC27" s="145"/>
      <c r="CD27" s="145"/>
      <c r="CE27" s="145"/>
      <c r="CF27" s="145"/>
      <c r="CG27" s="145"/>
      <c r="CH27" s="145"/>
      <c r="CI27" s="145"/>
      <c r="CJ27" s="145"/>
      <c r="CK27" s="145"/>
      <c r="CL27" s="145"/>
      <c r="CM27" s="145"/>
      <c r="CN27" s="145"/>
      <c r="CO27" s="145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145"/>
      <c r="DA27" s="145"/>
      <c r="DB27" s="145"/>
      <c r="DC27" s="145"/>
      <c r="DD27" s="145"/>
      <c r="DE27" s="145"/>
      <c r="DF27" s="145"/>
      <c r="DG27" s="145"/>
      <c r="DH27" s="145"/>
      <c r="DI27" s="145"/>
      <c r="DJ27" s="145"/>
      <c r="DK27" s="145"/>
      <c r="DL27" s="145"/>
      <c r="DM27" s="145"/>
      <c r="DN27" s="40"/>
      <c r="DO27" s="40"/>
      <c r="DP27" s="40"/>
      <c r="DQ27" s="40"/>
      <c r="DR27" s="40"/>
      <c r="DS27" s="40"/>
      <c r="DT27" s="40"/>
      <c r="DU27" s="40"/>
      <c r="DV27" s="40"/>
      <c r="DW27" s="145"/>
      <c r="DX27" s="145"/>
      <c r="DY27" s="145"/>
      <c r="DZ27" s="145"/>
      <c r="EA27" s="145"/>
      <c r="EB27" s="145"/>
      <c r="EC27" s="145"/>
      <c r="ED27" s="145"/>
      <c r="EE27" s="145"/>
      <c r="EF27" s="145"/>
      <c r="EG27" s="145"/>
      <c r="EH27" s="145"/>
      <c r="EI27" s="145"/>
      <c r="EJ27" s="145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</row>
    <row r="28" spans="1:164" s="121" customFormat="1" x14ac:dyDescent="0.25">
      <c r="A28" s="40"/>
      <c r="B28" s="40"/>
      <c r="C28" s="181"/>
      <c r="D28" s="181"/>
      <c r="E28" s="181"/>
      <c r="F28" s="181"/>
      <c r="G28" s="181"/>
      <c r="H28" s="181"/>
      <c r="I28" s="181"/>
      <c r="J28" s="40"/>
      <c r="K28" s="40"/>
      <c r="L28" s="40"/>
      <c r="M28" s="181"/>
      <c r="N28" s="181"/>
      <c r="O28" s="181"/>
      <c r="P28" s="181"/>
      <c r="Q28" s="181"/>
      <c r="R28" s="181"/>
      <c r="S28" s="181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40"/>
      <c r="DO28" s="40"/>
      <c r="DP28" s="40"/>
      <c r="DQ28" s="40"/>
      <c r="DR28" s="40"/>
      <c r="DS28" s="40"/>
      <c r="DT28" s="40"/>
      <c r="DU28" s="40"/>
      <c r="DV28" s="40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</row>
    <row r="29" spans="1:164" s="121" customFormat="1" x14ac:dyDescent="0.25">
      <c r="A29" s="40"/>
      <c r="B29" s="40"/>
      <c r="C29" s="181"/>
      <c r="D29" s="181"/>
      <c r="E29" s="181"/>
      <c r="F29" s="181"/>
      <c r="G29" s="181"/>
      <c r="H29" s="181"/>
      <c r="I29" s="181"/>
      <c r="J29" s="40"/>
      <c r="K29" s="40"/>
      <c r="L29" s="40"/>
      <c r="M29" s="181"/>
      <c r="N29" s="181"/>
      <c r="O29" s="181"/>
      <c r="P29" s="181"/>
      <c r="Q29" s="181"/>
      <c r="R29" s="181"/>
      <c r="S29" s="181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145"/>
      <c r="BF29" s="145"/>
      <c r="BG29" s="145"/>
      <c r="BH29" s="145"/>
      <c r="BI29" s="145"/>
      <c r="BJ29" s="145"/>
      <c r="BK29" s="145"/>
      <c r="BL29" s="145"/>
      <c r="BM29" s="145"/>
      <c r="BN29" s="145"/>
      <c r="BO29" s="145"/>
      <c r="BP29" s="145"/>
      <c r="BQ29" s="145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145"/>
      <c r="CC29" s="145"/>
      <c r="CD29" s="145"/>
      <c r="CE29" s="145"/>
      <c r="CF29" s="145"/>
      <c r="CG29" s="145"/>
      <c r="CH29" s="145"/>
      <c r="CI29" s="145"/>
      <c r="CJ29" s="145"/>
      <c r="CK29" s="145"/>
      <c r="CL29" s="145"/>
      <c r="CM29" s="145"/>
      <c r="CN29" s="145"/>
      <c r="CO29" s="145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145"/>
      <c r="DA29" s="145"/>
      <c r="DB29" s="145"/>
      <c r="DC29" s="145"/>
      <c r="DD29" s="145"/>
      <c r="DE29" s="145"/>
      <c r="DF29" s="145"/>
      <c r="DG29" s="145"/>
      <c r="DH29" s="145"/>
      <c r="DI29" s="145"/>
      <c r="DJ29" s="145"/>
      <c r="DK29" s="145"/>
      <c r="DL29" s="145"/>
      <c r="DM29" s="145"/>
      <c r="DN29" s="40"/>
      <c r="DO29" s="40"/>
      <c r="DP29" s="40"/>
      <c r="DQ29" s="40"/>
      <c r="DR29" s="40"/>
      <c r="DS29" s="40"/>
      <c r="DT29" s="40"/>
      <c r="DU29" s="40"/>
      <c r="DV29" s="40"/>
      <c r="DW29" s="145"/>
      <c r="DX29" s="145"/>
      <c r="DY29" s="145"/>
      <c r="DZ29" s="145"/>
      <c r="EA29" s="145"/>
      <c r="EB29" s="145"/>
      <c r="EC29" s="145"/>
      <c r="ED29" s="145"/>
      <c r="EE29" s="145"/>
      <c r="EF29" s="145"/>
      <c r="EG29" s="145"/>
      <c r="EH29" s="145"/>
      <c r="EI29" s="145"/>
      <c r="EJ29" s="145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</row>
    <row r="30" spans="1:164" s="121" customFormat="1" x14ac:dyDescent="0.25">
      <c r="A30" s="40"/>
      <c r="B30" s="40"/>
      <c r="C30" s="181"/>
      <c r="D30" s="181"/>
      <c r="E30" s="181"/>
      <c r="F30" s="181"/>
      <c r="G30" s="181"/>
      <c r="H30" s="181"/>
      <c r="I30" s="181"/>
      <c r="J30" s="40"/>
      <c r="K30" s="40"/>
      <c r="L30" s="40"/>
      <c r="M30" s="181"/>
      <c r="N30" s="181"/>
      <c r="O30" s="181"/>
      <c r="P30" s="181"/>
      <c r="Q30" s="181"/>
      <c r="R30" s="181"/>
      <c r="S30" s="181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145"/>
      <c r="BF30" s="145"/>
      <c r="BG30" s="145"/>
      <c r="BH30" s="145"/>
      <c r="BI30" s="145"/>
      <c r="BJ30" s="145"/>
      <c r="BK30" s="145"/>
      <c r="BL30" s="145"/>
      <c r="BM30" s="145"/>
      <c r="BN30" s="145"/>
      <c r="BO30" s="145"/>
      <c r="BP30" s="145"/>
      <c r="BQ30" s="145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145"/>
      <c r="CC30" s="145"/>
      <c r="CD30" s="145"/>
      <c r="CE30" s="145"/>
      <c r="CF30" s="145"/>
      <c r="CG30" s="145"/>
      <c r="CH30" s="145"/>
      <c r="CI30" s="145"/>
      <c r="CJ30" s="145"/>
      <c r="CK30" s="145"/>
      <c r="CL30" s="145"/>
      <c r="CM30" s="145"/>
      <c r="CN30" s="145"/>
      <c r="CO30" s="145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145"/>
      <c r="DA30" s="145"/>
      <c r="DB30" s="145"/>
      <c r="DC30" s="145"/>
      <c r="DD30" s="145"/>
      <c r="DE30" s="145"/>
      <c r="DF30" s="145"/>
      <c r="DG30" s="145"/>
      <c r="DH30" s="145"/>
      <c r="DI30" s="145"/>
      <c r="DJ30" s="145"/>
      <c r="DK30" s="145"/>
      <c r="DL30" s="145"/>
      <c r="DM30" s="145"/>
      <c r="DN30" s="40"/>
      <c r="DO30" s="40"/>
      <c r="DP30" s="40"/>
      <c r="DQ30" s="40"/>
      <c r="DR30" s="40"/>
      <c r="DS30" s="40"/>
      <c r="DT30" s="40"/>
      <c r="DU30" s="40"/>
      <c r="DV30" s="40"/>
      <c r="DW30" s="145"/>
      <c r="DX30" s="145"/>
      <c r="DY30" s="145"/>
      <c r="DZ30" s="145"/>
      <c r="EA30" s="145"/>
      <c r="EB30" s="145"/>
      <c r="EC30" s="145"/>
      <c r="ED30" s="145"/>
      <c r="EE30" s="145"/>
      <c r="EF30" s="145"/>
      <c r="EG30" s="145"/>
      <c r="EH30" s="145"/>
      <c r="EI30" s="145"/>
      <c r="EJ30" s="145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</row>
    <row r="31" spans="1:164" s="121" customFormat="1" x14ac:dyDescent="0.25">
      <c r="A31" s="40"/>
      <c r="B31" s="40"/>
      <c r="C31" s="181"/>
      <c r="D31" s="181"/>
      <c r="E31" s="181"/>
      <c r="F31" s="181"/>
      <c r="G31" s="181"/>
      <c r="H31" s="181"/>
      <c r="I31" s="181"/>
      <c r="J31" s="40"/>
      <c r="K31" s="40"/>
      <c r="L31" s="40"/>
      <c r="M31" s="181"/>
      <c r="N31" s="181"/>
      <c r="O31" s="181"/>
      <c r="P31" s="181"/>
      <c r="Q31" s="181"/>
      <c r="R31" s="181"/>
      <c r="S31" s="181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145"/>
      <c r="BF31" s="145"/>
      <c r="BG31" s="145"/>
      <c r="BH31" s="145"/>
      <c r="BI31" s="145"/>
      <c r="BJ31" s="145"/>
      <c r="BK31" s="145"/>
      <c r="BL31" s="145"/>
      <c r="BM31" s="145"/>
      <c r="BN31" s="145"/>
      <c r="BO31" s="145"/>
      <c r="BP31" s="145"/>
      <c r="BQ31" s="145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145"/>
      <c r="CC31" s="145"/>
      <c r="CD31" s="145"/>
      <c r="CE31" s="145"/>
      <c r="CF31" s="145"/>
      <c r="CG31" s="145"/>
      <c r="CH31" s="145"/>
      <c r="CI31" s="145"/>
      <c r="CJ31" s="145"/>
      <c r="CK31" s="145"/>
      <c r="CL31" s="145"/>
      <c r="CM31" s="145"/>
      <c r="CN31" s="145"/>
      <c r="CO31" s="145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145"/>
      <c r="DA31" s="145"/>
      <c r="DB31" s="145"/>
      <c r="DC31" s="145"/>
      <c r="DD31" s="145"/>
      <c r="DE31" s="145"/>
      <c r="DF31" s="145"/>
      <c r="DG31" s="145"/>
      <c r="DH31" s="145"/>
      <c r="DI31" s="145"/>
      <c r="DJ31" s="145"/>
      <c r="DK31" s="145"/>
      <c r="DL31" s="145"/>
      <c r="DM31" s="145"/>
      <c r="DN31" s="40"/>
      <c r="DO31" s="40"/>
      <c r="DP31" s="40"/>
      <c r="DQ31" s="40"/>
      <c r="DR31" s="40"/>
      <c r="DS31" s="40"/>
      <c r="DT31" s="40"/>
      <c r="DU31" s="40"/>
      <c r="DV31" s="40"/>
      <c r="DW31" s="145"/>
      <c r="DX31" s="145"/>
      <c r="DY31" s="145"/>
      <c r="DZ31" s="145"/>
      <c r="EA31" s="145"/>
      <c r="EB31" s="145"/>
      <c r="EC31" s="145"/>
      <c r="ED31" s="145"/>
      <c r="EE31" s="145"/>
      <c r="EF31" s="145"/>
      <c r="EG31" s="145"/>
      <c r="EH31" s="145"/>
      <c r="EI31" s="145"/>
      <c r="EJ31" s="145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</row>
    <row r="32" spans="1:164" s="121" customFormat="1" x14ac:dyDescent="0.25">
      <c r="A32" s="40"/>
      <c r="B32" s="40"/>
      <c r="C32" s="181"/>
      <c r="D32" s="181"/>
      <c r="E32" s="181"/>
      <c r="F32" s="181"/>
      <c r="G32" s="181"/>
      <c r="H32" s="181"/>
      <c r="I32" s="181"/>
      <c r="J32" s="40"/>
      <c r="K32" s="40"/>
      <c r="L32" s="40"/>
      <c r="M32" s="181"/>
      <c r="N32" s="181"/>
      <c r="O32" s="181"/>
      <c r="P32" s="181"/>
      <c r="Q32" s="181"/>
      <c r="R32" s="181"/>
      <c r="S32" s="181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145"/>
      <c r="BF32" s="145"/>
      <c r="BG32" s="145"/>
      <c r="BH32" s="145"/>
      <c r="BI32" s="145"/>
      <c r="BJ32" s="145"/>
      <c r="BK32" s="145"/>
      <c r="BL32" s="145"/>
      <c r="BM32" s="145"/>
      <c r="BN32" s="145"/>
      <c r="BO32" s="145"/>
      <c r="BP32" s="145"/>
      <c r="BQ32" s="145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145"/>
      <c r="CC32" s="145"/>
      <c r="CD32" s="145"/>
      <c r="CE32" s="145"/>
      <c r="CF32" s="145"/>
      <c r="CG32" s="145"/>
      <c r="CH32" s="145"/>
      <c r="CI32" s="145"/>
      <c r="CJ32" s="145"/>
      <c r="CK32" s="145"/>
      <c r="CL32" s="145"/>
      <c r="CM32" s="145"/>
      <c r="CN32" s="145"/>
      <c r="CO32" s="145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145"/>
      <c r="DA32" s="145"/>
      <c r="DB32" s="145"/>
      <c r="DC32" s="145"/>
      <c r="DD32" s="145"/>
      <c r="DE32" s="145"/>
      <c r="DF32" s="145"/>
      <c r="DG32" s="145"/>
      <c r="DH32" s="145"/>
      <c r="DI32" s="145"/>
      <c r="DJ32" s="145"/>
      <c r="DK32" s="145"/>
      <c r="DL32" s="145"/>
      <c r="DM32" s="145"/>
      <c r="DN32" s="40"/>
      <c r="DO32" s="40"/>
      <c r="DP32" s="40"/>
      <c r="DQ32" s="40"/>
      <c r="DR32" s="40"/>
      <c r="DS32" s="40"/>
      <c r="DT32" s="40"/>
      <c r="DU32" s="40"/>
      <c r="DV32" s="40"/>
      <c r="DW32" s="145"/>
      <c r="DX32" s="145"/>
      <c r="DY32" s="145"/>
      <c r="DZ32" s="145"/>
      <c r="EA32" s="145"/>
      <c r="EB32" s="145"/>
      <c r="EC32" s="145"/>
      <c r="ED32" s="145"/>
      <c r="EE32" s="145"/>
      <c r="EF32" s="145"/>
      <c r="EG32" s="145"/>
      <c r="EH32" s="145"/>
      <c r="EI32" s="145"/>
      <c r="EJ32" s="145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  <c r="FE32" s="40"/>
      <c r="FF32" s="40"/>
      <c r="FG32" s="40"/>
      <c r="FH32" s="40"/>
    </row>
    <row r="33" spans="1:164" s="121" customFormat="1" x14ac:dyDescent="0.25">
      <c r="A33" s="40"/>
      <c r="B33" s="40"/>
      <c r="C33" s="181"/>
      <c r="D33" s="181"/>
      <c r="E33" s="181"/>
      <c r="F33" s="181"/>
      <c r="G33" s="181"/>
      <c r="H33" s="181"/>
      <c r="I33" s="181"/>
      <c r="J33" s="40"/>
      <c r="K33" s="40"/>
      <c r="L33" s="40"/>
      <c r="M33" s="181"/>
      <c r="N33" s="181"/>
      <c r="O33" s="181"/>
      <c r="P33" s="181"/>
      <c r="Q33" s="181"/>
      <c r="R33" s="181"/>
      <c r="S33" s="181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145"/>
      <c r="BF33" s="145"/>
      <c r="BG33" s="145"/>
      <c r="BH33" s="145"/>
      <c r="BI33" s="145"/>
      <c r="BJ33" s="145"/>
      <c r="BK33" s="145"/>
      <c r="BL33" s="145"/>
      <c r="BM33" s="145"/>
      <c r="BN33" s="145"/>
      <c r="BO33" s="145"/>
      <c r="BP33" s="145"/>
      <c r="BQ33" s="145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145"/>
      <c r="CC33" s="145"/>
      <c r="CD33" s="145"/>
      <c r="CE33" s="145"/>
      <c r="CF33" s="145"/>
      <c r="CG33" s="145"/>
      <c r="CH33" s="145"/>
      <c r="CI33" s="145"/>
      <c r="CJ33" s="145"/>
      <c r="CK33" s="145"/>
      <c r="CL33" s="145"/>
      <c r="CM33" s="145"/>
      <c r="CN33" s="145"/>
      <c r="CO33" s="145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145"/>
      <c r="DA33" s="145"/>
      <c r="DB33" s="145"/>
      <c r="DC33" s="145"/>
      <c r="DD33" s="145"/>
      <c r="DE33" s="145"/>
      <c r="DF33" s="145"/>
      <c r="DG33" s="145"/>
      <c r="DH33" s="145"/>
      <c r="DI33" s="145"/>
      <c r="DJ33" s="145"/>
      <c r="DK33" s="145"/>
      <c r="DL33" s="145"/>
      <c r="DM33" s="145"/>
      <c r="DN33" s="40"/>
      <c r="DO33" s="40"/>
      <c r="DP33" s="40"/>
      <c r="DQ33" s="40"/>
      <c r="DR33" s="40"/>
      <c r="DS33" s="40"/>
      <c r="DT33" s="40"/>
      <c r="DU33" s="40"/>
      <c r="DV33" s="40"/>
      <c r="DW33" s="145"/>
      <c r="DX33" s="145"/>
      <c r="DY33" s="145"/>
      <c r="DZ33" s="145"/>
      <c r="EA33" s="145"/>
      <c r="EB33" s="145"/>
      <c r="EC33" s="145"/>
      <c r="ED33" s="145"/>
      <c r="EE33" s="145"/>
      <c r="EF33" s="145"/>
      <c r="EG33" s="145"/>
      <c r="EH33" s="145"/>
      <c r="EI33" s="145"/>
      <c r="EJ33" s="145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  <c r="FD33" s="40"/>
      <c r="FE33" s="40"/>
      <c r="FF33" s="40"/>
      <c r="FG33" s="40"/>
      <c r="FH33" s="40"/>
    </row>
    <row r="34" spans="1:164" s="121" customFormat="1" x14ac:dyDescent="0.25">
      <c r="A34" s="40"/>
      <c r="B34" s="40"/>
      <c r="C34" s="181"/>
      <c r="D34" s="181"/>
      <c r="E34" s="181"/>
      <c r="F34" s="181"/>
      <c r="G34" s="181"/>
      <c r="H34" s="181"/>
      <c r="I34" s="181"/>
      <c r="J34" s="40"/>
      <c r="K34" s="40"/>
      <c r="L34" s="40"/>
      <c r="M34" s="181"/>
      <c r="N34" s="181"/>
      <c r="O34" s="181"/>
      <c r="P34" s="181"/>
      <c r="Q34" s="181"/>
      <c r="R34" s="181"/>
      <c r="S34" s="181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145"/>
      <c r="BF34" s="145"/>
      <c r="BG34" s="145"/>
      <c r="BH34" s="145"/>
      <c r="BI34" s="145"/>
      <c r="BJ34" s="145"/>
      <c r="BK34" s="145"/>
      <c r="BL34" s="145"/>
      <c r="BM34" s="145"/>
      <c r="BN34" s="145"/>
      <c r="BO34" s="145"/>
      <c r="BP34" s="145"/>
      <c r="BQ34" s="145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145"/>
      <c r="CC34" s="145"/>
      <c r="CD34" s="145"/>
      <c r="CE34" s="145"/>
      <c r="CF34" s="145"/>
      <c r="CG34" s="145"/>
      <c r="CH34" s="145"/>
      <c r="CI34" s="145"/>
      <c r="CJ34" s="145"/>
      <c r="CK34" s="145"/>
      <c r="CL34" s="145"/>
      <c r="CM34" s="145"/>
      <c r="CN34" s="145"/>
      <c r="CO34" s="145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145"/>
      <c r="DA34" s="145"/>
      <c r="DB34" s="145"/>
      <c r="DC34" s="145"/>
      <c r="DD34" s="145"/>
      <c r="DE34" s="145"/>
      <c r="DF34" s="145"/>
      <c r="DG34" s="145"/>
      <c r="DH34" s="145"/>
      <c r="DI34" s="145"/>
      <c r="DJ34" s="145"/>
      <c r="DK34" s="145"/>
      <c r="DL34" s="145"/>
      <c r="DM34" s="145"/>
      <c r="DN34" s="40"/>
      <c r="DO34" s="40"/>
      <c r="DP34" s="40"/>
      <c r="DQ34" s="40"/>
      <c r="DR34" s="40"/>
      <c r="DS34" s="40"/>
      <c r="DT34" s="40"/>
      <c r="DU34" s="40"/>
      <c r="DV34" s="40"/>
      <c r="DW34" s="145"/>
      <c r="DX34" s="145"/>
      <c r="DY34" s="145"/>
      <c r="DZ34" s="145"/>
      <c r="EA34" s="145"/>
      <c r="EB34" s="145"/>
      <c r="EC34" s="145"/>
      <c r="ED34" s="145"/>
      <c r="EE34" s="145"/>
      <c r="EF34" s="145"/>
      <c r="EG34" s="145"/>
      <c r="EH34" s="145"/>
      <c r="EI34" s="145"/>
      <c r="EJ34" s="145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  <c r="FE34" s="40"/>
      <c r="FF34" s="40"/>
      <c r="FG34" s="40"/>
      <c r="FH34" s="40"/>
    </row>
    <row r="35" spans="1:164" s="121" customFormat="1" x14ac:dyDescent="0.25">
      <c r="A35" s="40"/>
      <c r="B35" s="40"/>
      <c r="C35" s="181"/>
      <c r="D35" s="181"/>
      <c r="E35" s="181"/>
      <c r="F35" s="181"/>
      <c r="G35" s="181"/>
      <c r="H35" s="181"/>
      <c r="I35" s="181"/>
      <c r="J35" s="40"/>
      <c r="K35" s="40"/>
      <c r="L35" s="40"/>
      <c r="M35" s="181"/>
      <c r="N35" s="181"/>
      <c r="O35" s="181"/>
      <c r="P35" s="181"/>
      <c r="Q35" s="181"/>
      <c r="R35" s="181"/>
      <c r="S35" s="181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145"/>
      <c r="BF35" s="145"/>
      <c r="BG35" s="145"/>
      <c r="BH35" s="145"/>
      <c r="BI35" s="145"/>
      <c r="BJ35" s="145"/>
      <c r="BK35" s="145"/>
      <c r="BL35" s="145"/>
      <c r="BM35" s="145"/>
      <c r="BN35" s="145"/>
      <c r="BO35" s="145"/>
      <c r="BP35" s="145"/>
      <c r="BQ35" s="145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145"/>
      <c r="CC35" s="145"/>
      <c r="CD35" s="145"/>
      <c r="CE35" s="145"/>
      <c r="CF35" s="145"/>
      <c r="CG35" s="145"/>
      <c r="CH35" s="145"/>
      <c r="CI35" s="145"/>
      <c r="CJ35" s="145"/>
      <c r="CK35" s="145"/>
      <c r="CL35" s="145"/>
      <c r="CM35" s="145"/>
      <c r="CN35" s="145"/>
      <c r="CO35" s="145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145"/>
      <c r="DA35" s="145"/>
      <c r="DB35" s="145"/>
      <c r="DC35" s="145"/>
      <c r="DD35" s="145"/>
      <c r="DE35" s="145"/>
      <c r="DF35" s="145"/>
      <c r="DG35" s="145"/>
      <c r="DH35" s="145"/>
      <c r="DI35" s="145"/>
      <c r="DJ35" s="145"/>
      <c r="DK35" s="145"/>
      <c r="DL35" s="145"/>
      <c r="DM35" s="145"/>
      <c r="DN35" s="40"/>
      <c r="DO35" s="40"/>
      <c r="DP35" s="40"/>
      <c r="DQ35" s="40"/>
      <c r="DR35" s="40"/>
      <c r="DS35" s="40"/>
      <c r="DT35" s="40"/>
      <c r="DU35" s="40"/>
      <c r="DV35" s="40"/>
      <c r="DW35" s="145"/>
      <c r="DX35" s="145"/>
      <c r="DY35" s="145"/>
      <c r="DZ35" s="145"/>
      <c r="EA35" s="145"/>
      <c r="EB35" s="145"/>
      <c r="EC35" s="145"/>
      <c r="ED35" s="145"/>
      <c r="EE35" s="145"/>
      <c r="EF35" s="145"/>
      <c r="EG35" s="145"/>
      <c r="EH35" s="145"/>
      <c r="EI35" s="145"/>
      <c r="EJ35" s="145"/>
      <c r="EK35" s="40"/>
      <c r="EL35" s="40"/>
      <c r="EM35" s="40"/>
      <c r="EN35" s="40"/>
      <c r="EO35" s="40"/>
      <c r="EP35" s="40"/>
      <c r="EQ35" s="40"/>
      <c r="ER35" s="40"/>
      <c r="ES35" s="40"/>
      <c r="ET35" s="40"/>
      <c r="EU35" s="40"/>
      <c r="EV35" s="40"/>
      <c r="EW35" s="40"/>
      <c r="EX35" s="40"/>
      <c r="EY35" s="40"/>
      <c r="EZ35" s="40"/>
      <c r="FA35" s="40"/>
      <c r="FB35" s="40"/>
      <c r="FC35" s="40"/>
      <c r="FD35" s="40"/>
      <c r="FE35" s="40"/>
      <c r="FF35" s="40"/>
      <c r="FG35" s="40"/>
      <c r="FH35" s="40"/>
    </row>
    <row r="36" spans="1:164" s="121" customFormat="1" x14ac:dyDescent="0.25">
      <c r="A36" s="40"/>
      <c r="B36" s="40"/>
      <c r="C36" s="181"/>
      <c r="D36" s="181"/>
      <c r="E36" s="181"/>
      <c r="F36" s="181"/>
      <c r="G36" s="181"/>
      <c r="H36" s="181"/>
      <c r="I36" s="181"/>
      <c r="J36" s="40"/>
      <c r="K36" s="40"/>
      <c r="L36" s="40"/>
      <c r="M36" s="181"/>
      <c r="N36" s="181"/>
      <c r="O36" s="181"/>
      <c r="P36" s="181"/>
      <c r="Q36" s="181"/>
      <c r="R36" s="181"/>
      <c r="S36" s="181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145"/>
      <c r="BF36" s="145"/>
      <c r="BG36" s="145"/>
      <c r="BH36" s="145"/>
      <c r="BI36" s="145"/>
      <c r="BJ36" s="145"/>
      <c r="BK36" s="145"/>
      <c r="BL36" s="145"/>
      <c r="BM36" s="145"/>
      <c r="BN36" s="145"/>
      <c r="BO36" s="145"/>
      <c r="BP36" s="145"/>
      <c r="BQ36" s="145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145"/>
      <c r="CC36" s="145"/>
      <c r="CD36" s="145"/>
      <c r="CE36" s="145"/>
      <c r="CF36" s="145"/>
      <c r="CG36" s="145"/>
      <c r="CH36" s="145"/>
      <c r="CI36" s="145"/>
      <c r="CJ36" s="145"/>
      <c r="CK36" s="145"/>
      <c r="CL36" s="145"/>
      <c r="CM36" s="145"/>
      <c r="CN36" s="145"/>
      <c r="CO36" s="145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145"/>
      <c r="DA36" s="145"/>
      <c r="DB36" s="145"/>
      <c r="DC36" s="145"/>
      <c r="DD36" s="145"/>
      <c r="DE36" s="145"/>
      <c r="DF36" s="145"/>
      <c r="DG36" s="145"/>
      <c r="DH36" s="145"/>
      <c r="DI36" s="145"/>
      <c r="DJ36" s="145"/>
      <c r="DK36" s="145"/>
      <c r="DL36" s="145"/>
      <c r="DM36" s="145"/>
      <c r="DN36" s="40"/>
      <c r="DO36" s="40"/>
      <c r="DP36" s="40"/>
      <c r="DQ36" s="40"/>
      <c r="DR36" s="40"/>
      <c r="DS36" s="40"/>
      <c r="DT36" s="40"/>
      <c r="DU36" s="40"/>
      <c r="DV36" s="40"/>
      <c r="DW36" s="145"/>
      <c r="DX36" s="145"/>
      <c r="DY36" s="145"/>
      <c r="DZ36" s="145"/>
      <c r="EA36" s="145"/>
      <c r="EB36" s="145"/>
      <c r="EC36" s="145"/>
      <c r="ED36" s="145"/>
      <c r="EE36" s="145"/>
      <c r="EF36" s="145"/>
      <c r="EG36" s="145"/>
      <c r="EH36" s="145"/>
      <c r="EI36" s="145"/>
      <c r="EJ36" s="145"/>
      <c r="EK36" s="40"/>
      <c r="EL36" s="40"/>
      <c r="EM36" s="40"/>
      <c r="EN36" s="40"/>
      <c r="EO36" s="40"/>
      <c r="EP36" s="40"/>
      <c r="EQ36" s="40"/>
      <c r="ER36" s="40"/>
      <c r="ES36" s="40"/>
      <c r="ET36" s="40"/>
      <c r="EU36" s="40"/>
      <c r="EV36" s="40"/>
      <c r="EW36" s="40"/>
      <c r="EX36" s="40"/>
      <c r="EY36" s="40"/>
      <c r="EZ36" s="40"/>
      <c r="FA36" s="40"/>
      <c r="FB36" s="40"/>
      <c r="FC36" s="40"/>
      <c r="FD36" s="40"/>
      <c r="FE36" s="40"/>
      <c r="FF36" s="40"/>
      <c r="FG36" s="40"/>
      <c r="FH36" s="40"/>
    </row>
    <row r="37" spans="1:164" s="121" customFormat="1" x14ac:dyDescent="0.25">
      <c r="A37" s="40"/>
      <c r="B37" s="40"/>
      <c r="C37" s="181"/>
      <c r="D37" s="181"/>
      <c r="E37" s="181"/>
      <c r="F37" s="181"/>
      <c r="G37" s="181"/>
      <c r="H37" s="181"/>
      <c r="I37" s="181"/>
      <c r="J37" s="40"/>
      <c r="K37" s="40"/>
      <c r="L37" s="40"/>
      <c r="M37" s="181"/>
      <c r="N37" s="181"/>
      <c r="O37" s="181"/>
      <c r="P37" s="181"/>
      <c r="Q37" s="181"/>
      <c r="R37" s="181"/>
      <c r="S37" s="181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145"/>
      <c r="BF37" s="145"/>
      <c r="BG37" s="145"/>
      <c r="BH37" s="145"/>
      <c r="BI37" s="145"/>
      <c r="BJ37" s="145"/>
      <c r="BK37" s="145"/>
      <c r="BL37" s="145"/>
      <c r="BM37" s="145"/>
      <c r="BN37" s="145"/>
      <c r="BO37" s="145"/>
      <c r="BP37" s="145"/>
      <c r="BQ37" s="145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145"/>
      <c r="CC37" s="145"/>
      <c r="CD37" s="145"/>
      <c r="CE37" s="145"/>
      <c r="CF37" s="145"/>
      <c r="CG37" s="145"/>
      <c r="CH37" s="145"/>
      <c r="CI37" s="145"/>
      <c r="CJ37" s="145"/>
      <c r="CK37" s="145"/>
      <c r="CL37" s="145"/>
      <c r="CM37" s="145"/>
      <c r="CN37" s="145"/>
      <c r="CO37" s="145"/>
      <c r="CP37" s="40"/>
      <c r="CQ37" s="40"/>
      <c r="CR37" s="40"/>
      <c r="CS37" s="40"/>
      <c r="CT37" s="40"/>
      <c r="CU37" s="40"/>
      <c r="CV37" s="40"/>
      <c r="CW37" s="40"/>
      <c r="CX37" s="40"/>
      <c r="CY37" s="40"/>
      <c r="CZ37" s="145"/>
      <c r="DA37" s="145"/>
      <c r="DB37" s="145"/>
      <c r="DC37" s="145"/>
      <c r="DD37" s="145"/>
      <c r="DE37" s="145"/>
      <c r="DF37" s="145"/>
      <c r="DG37" s="145"/>
      <c r="DH37" s="145"/>
      <c r="DI37" s="145"/>
      <c r="DJ37" s="145"/>
      <c r="DK37" s="145"/>
      <c r="DL37" s="145"/>
      <c r="DM37" s="145"/>
      <c r="DN37" s="40"/>
      <c r="DO37" s="40"/>
      <c r="DP37" s="40"/>
      <c r="DQ37" s="40"/>
      <c r="DR37" s="40"/>
      <c r="DS37" s="40"/>
      <c r="DT37" s="40"/>
      <c r="DU37" s="40"/>
      <c r="DV37" s="40"/>
      <c r="DW37" s="145"/>
      <c r="DX37" s="145"/>
      <c r="DY37" s="145"/>
      <c r="DZ37" s="145"/>
      <c r="EA37" s="145"/>
      <c r="EB37" s="145"/>
      <c r="EC37" s="145"/>
      <c r="ED37" s="145"/>
      <c r="EE37" s="145"/>
      <c r="EF37" s="145"/>
      <c r="EG37" s="145"/>
      <c r="EH37" s="145"/>
      <c r="EI37" s="145"/>
      <c r="EJ37" s="145"/>
      <c r="EK37" s="40"/>
      <c r="EL37" s="40"/>
      <c r="EM37" s="40"/>
      <c r="EN37" s="40"/>
      <c r="EO37" s="40"/>
      <c r="EP37" s="40"/>
      <c r="EQ37" s="40"/>
      <c r="ER37" s="40"/>
      <c r="ES37" s="40"/>
      <c r="ET37" s="40"/>
      <c r="EU37" s="40"/>
      <c r="EV37" s="40"/>
      <c r="EW37" s="40"/>
      <c r="EX37" s="40"/>
      <c r="EY37" s="40"/>
      <c r="EZ37" s="40"/>
      <c r="FA37" s="40"/>
      <c r="FB37" s="40"/>
      <c r="FC37" s="40"/>
      <c r="FD37" s="40"/>
      <c r="FE37" s="40"/>
      <c r="FF37" s="40"/>
      <c r="FG37" s="40"/>
      <c r="FH37" s="40"/>
    </row>
    <row r="38" spans="1:164" s="121" customFormat="1" x14ac:dyDescent="0.25">
      <c r="A38" s="40"/>
      <c r="B38" s="40"/>
      <c r="C38" s="181"/>
      <c r="D38" s="181"/>
      <c r="E38" s="181"/>
      <c r="F38" s="181"/>
      <c r="G38" s="181"/>
      <c r="H38" s="181"/>
      <c r="I38" s="181"/>
      <c r="J38" s="40"/>
      <c r="K38" s="40"/>
      <c r="L38" s="40"/>
      <c r="M38" s="181"/>
      <c r="N38" s="181"/>
      <c r="O38" s="181"/>
      <c r="P38" s="181"/>
      <c r="Q38" s="181"/>
      <c r="R38" s="181"/>
      <c r="S38" s="181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145"/>
      <c r="DA38" s="145"/>
      <c r="DB38" s="145"/>
      <c r="DC38" s="145"/>
      <c r="DD38" s="145"/>
      <c r="DE38" s="145"/>
      <c r="DF38" s="145"/>
      <c r="DG38" s="145"/>
      <c r="DH38" s="145"/>
      <c r="DI38" s="145"/>
      <c r="DJ38" s="145"/>
      <c r="DK38" s="145"/>
      <c r="DL38" s="145"/>
      <c r="DM38" s="145"/>
      <c r="DN38" s="40"/>
      <c r="DO38" s="40"/>
      <c r="DP38" s="40"/>
      <c r="DQ38" s="40"/>
      <c r="DR38" s="40"/>
      <c r="DS38" s="40"/>
      <c r="DT38" s="40"/>
      <c r="DU38" s="40"/>
      <c r="DV38" s="40"/>
      <c r="DW38" s="145"/>
      <c r="DX38" s="145"/>
      <c r="DY38" s="145"/>
      <c r="DZ38" s="145"/>
      <c r="EA38" s="145"/>
      <c r="EB38" s="145"/>
      <c r="EC38" s="145"/>
      <c r="ED38" s="145"/>
      <c r="EE38" s="145"/>
      <c r="EF38" s="145"/>
      <c r="EG38" s="145"/>
      <c r="EH38" s="145"/>
      <c r="EI38" s="145"/>
      <c r="EJ38" s="145"/>
      <c r="EK38" s="40"/>
      <c r="EL38" s="40"/>
      <c r="EM38" s="40"/>
      <c r="EN38" s="40"/>
      <c r="EO38" s="40"/>
      <c r="EP38" s="40"/>
      <c r="EQ38" s="40"/>
      <c r="ER38" s="40"/>
      <c r="ES38" s="40"/>
      <c r="ET38" s="40"/>
      <c r="EU38" s="40"/>
      <c r="EV38" s="40"/>
      <c r="EW38" s="40"/>
      <c r="EX38" s="40"/>
      <c r="EY38" s="40"/>
      <c r="EZ38" s="40"/>
      <c r="FA38" s="40"/>
      <c r="FB38" s="40"/>
      <c r="FC38" s="40"/>
      <c r="FD38" s="40"/>
      <c r="FE38" s="40"/>
      <c r="FF38" s="40"/>
      <c r="FG38" s="40"/>
      <c r="FH38" s="40"/>
    </row>
    <row r="39" spans="1:164" s="121" customFormat="1" x14ac:dyDescent="0.25">
      <c r="A39" s="40"/>
      <c r="B39" s="40"/>
      <c r="C39" s="181"/>
      <c r="D39" s="181"/>
      <c r="E39" s="181"/>
      <c r="F39" s="181"/>
      <c r="G39" s="181"/>
      <c r="H39" s="181"/>
      <c r="I39" s="181"/>
      <c r="J39" s="40"/>
      <c r="K39" s="40"/>
      <c r="L39" s="40"/>
      <c r="M39" s="181"/>
      <c r="N39" s="181"/>
      <c r="O39" s="181"/>
      <c r="P39" s="181"/>
      <c r="Q39" s="181"/>
      <c r="R39" s="181"/>
      <c r="S39" s="181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40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40"/>
      <c r="DM39" s="40"/>
      <c r="DN39" s="40"/>
      <c r="DO39" s="40"/>
      <c r="DP39" s="40"/>
      <c r="DQ39" s="40"/>
      <c r="DR39" s="40"/>
      <c r="DS39" s="40"/>
      <c r="DT39" s="40"/>
      <c r="DU39" s="40"/>
      <c r="DV39" s="40"/>
      <c r="DW39" s="40"/>
      <c r="DX39" s="40"/>
      <c r="DY39" s="40"/>
      <c r="DZ39" s="40"/>
      <c r="EA39" s="40"/>
      <c r="EB39" s="40"/>
      <c r="EC39" s="40"/>
      <c r="ED39" s="40"/>
      <c r="EE39" s="40"/>
      <c r="EF39" s="40"/>
      <c r="EG39" s="40"/>
      <c r="EH39" s="40"/>
      <c r="EI39" s="40"/>
      <c r="EJ39" s="40"/>
      <c r="EK39" s="40"/>
      <c r="EL39" s="40"/>
      <c r="EM39" s="40"/>
      <c r="EN39" s="40"/>
      <c r="EO39" s="40"/>
      <c r="EP39" s="40"/>
      <c r="EQ39" s="40"/>
      <c r="ER39" s="40"/>
      <c r="ES39" s="40"/>
      <c r="ET39" s="40"/>
      <c r="EU39" s="40"/>
      <c r="EV39" s="40"/>
      <c r="EW39" s="40"/>
      <c r="EX39" s="40"/>
      <c r="EY39" s="40"/>
      <c r="EZ39" s="40"/>
      <c r="FA39" s="40"/>
      <c r="FB39" s="40"/>
      <c r="FC39" s="40"/>
      <c r="FD39" s="40"/>
      <c r="FE39" s="40"/>
      <c r="FF39" s="40"/>
      <c r="FG39" s="40"/>
      <c r="FH39" s="40"/>
    </row>
    <row r="40" spans="1:164" s="121" customFormat="1" x14ac:dyDescent="0.25">
      <c r="A40" s="40"/>
      <c r="B40" s="40"/>
      <c r="J40" s="40"/>
      <c r="K40" s="40"/>
      <c r="L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0"/>
      <c r="DB40" s="40"/>
      <c r="DC40" s="40"/>
      <c r="DD40" s="40"/>
      <c r="DE40" s="40"/>
      <c r="DF40" s="40"/>
      <c r="DG40" s="40"/>
      <c r="DH40" s="40"/>
      <c r="DI40" s="40"/>
      <c r="DJ40" s="40"/>
      <c r="DK40" s="40"/>
      <c r="DL40" s="40"/>
      <c r="DM40" s="40"/>
      <c r="DN40" s="40"/>
      <c r="DO40" s="40"/>
      <c r="DP40" s="40"/>
      <c r="DQ40" s="40"/>
      <c r="DR40" s="40"/>
      <c r="DS40" s="40"/>
      <c r="DT40" s="40"/>
      <c r="DU40" s="40"/>
      <c r="DV40" s="40"/>
      <c r="DW40" s="40"/>
      <c r="DX40" s="40"/>
      <c r="DY40" s="40"/>
      <c r="DZ40" s="40"/>
      <c r="EA40" s="40"/>
      <c r="EB40" s="40"/>
      <c r="EC40" s="40"/>
      <c r="ED40" s="40"/>
      <c r="EE40" s="40"/>
      <c r="EF40" s="40"/>
      <c r="EG40" s="40"/>
      <c r="EH40" s="40"/>
      <c r="EI40" s="40"/>
      <c r="EJ40" s="40"/>
      <c r="EK40" s="40"/>
      <c r="EL40" s="40"/>
      <c r="EM40" s="40"/>
      <c r="EN40" s="40"/>
      <c r="EO40" s="40"/>
      <c r="EP40" s="40"/>
      <c r="EQ40" s="40"/>
      <c r="ER40" s="40"/>
      <c r="ES40" s="40"/>
      <c r="ET40" s="40"/>
      <c r="EU40" s="40"/>
      <c r="EV40" s="40"/>
      <c r="EW40" s="40"/>
      <c r="EX40" s="40"/>
      <c r="EY40" s="40"/>
      <c r="EZ40" s="40"/>
      <c r="FA40" s="40"/>
      <c r="FB40" s="40"/>
      <c r="FC40" s="40"/>
      <c r="FD40" s="40"/>
      <c r="FE40" s="40"/>
      <c r="FF40" s="40"/>
      <c r="FG40" s="40"/>
      <c r="FH40" s="40"/>
    </row>
    <row r="41" spans="1:164" s="40" customFormat="1" ht="409.6" customHeight="1" x14ac:dyDescent="0.25"/>
    <row r="42" spans="1:164" ht="119.25" customHeight="1" thickBot="1" x14ac:dyDescent="0.3">
      <c r="BR42" s="8"/>
      <c r="BS42" s="8"/>
      <c r="BT42" s="8"/>
      <c r="BU42" s="8"/>
      <c r="BV42" s="8"/>
      <c r="BW42" s="8"/>
      <c r="CP42" s="8"/>
      <c r="CQ42" s="8"/>
      <c r="CR42" s="8"/>
      <c r="CS42" s="8"/>
    </row>
    <row r="43" spans="1:164" ht="21.75" thickBot="1" x14ac:dyDescent="0.4">
      <c r="B43" s="178" t="s">
        <v>377</v>
      </c>
      <c r="C43" s="179"/>
      <c r="D43" s="179"/>
      <c r="E43" s="180"/>
      <c r="H43" s="178" t="s">
        <v>378</v>
      </c>
      <c r="I43" s="179"/>
      <c r="J43" s="180"/>
      <c r="M43" s="178" t="s">
        <v>212</v>
      </c>
      <c r="N43" s="179"/>
      <c r="O43" s="180"/>
      <c r="R43" s="175" t="s">
        <v>394</v>
      </c>
      <c r="S43" s="176"/>
      <c r="T43" s="176"/>
      <c r="U43" s="176"/>
      <c r="V43" s="177"/>
      <c r="Y43" s="178" t="s">
        <v>209</v>
      </c>
      <c r="Z43" s="179"/>
      <c r="AA43" s="180"/>
      <c r="AE43" s="178" t="s">
        <v>210</v>
      </c>
      <c r="AF43" s="179"/>
      <c r="AG43" s="180"/>
      <c r="AK43" s="175" t="s">
        <v>379</v>
      </c>
      <c r="AL43" s="176"/>
      <c r="AM43" s="176"/>
      <c r="AN43" s="176"/>
      <c r="AO43" s="177"/>
      <c r="AU43" s="7" t="s">
        <v>432</v>
      </c>
      <c r="AV43" s="7" t="s">
        <v>433</v>
      </c>
      <c r="BR43" s="8"/>
      <c r="BS43" s="8"/>
      <c r="BT43" s="8"/>
      <c r="BU43" s="8"/>
      <c r="BV43" s="8"/>
    </row>
    <row r="44" spans="1:164" ht="21.75" thickBot="1" x14ac:dyDescent="0.4">
      <c r="D44" t="s">
        <v>434</v>
      </c>
      <c r="E44" t="s">
        <v>435</v>
      </c>
      <c r="G44" s="8"/>
      <c r="R44" s="9"/>
      <c r="S44" s="106" t="s">
        <v>221</v>
      </c>
      <c r="T44" s="80" t="s">
        <v>380</v>
      </c>
      <c r="U44" s="80" t="s">
        <v>212</v>
      </c>
      <c r="V44" s="80" t="s">
        <v>395</v>
      </c>
      <c r="AA44" s="37"/>
      <c r="AK44" s="9"/>
      <c r="AL44" s="106" t="s">
        <v>221</v>
      </c>
      <c r="AM44" s="80" t="s">
        <v>209</v>
      </c>
      <c r="AN44" s="80" t="s">
        <v>210</v>
      </c>
      <c r="AO44" s="80" t="s">
        <v>397</v>
      </c>
      <c r="AS44" s="175" t="s">
        <v>396</v>
      </c>
      <c r="AT44" s="176"/>
      <c r="AU44" s="176"/>
      <c r="AV44" s="177"/>
      <c r="AY44" s="184" t="s">
        <v>437</v>
      </c>
      <c r="AZ44" s="184"/>
      <c r="BA44" s="185"/>
      <c r="BB44" s="146"/>
      <c r="BC44" s="186" t="s">
        <v>436</v>
      </c>
      <c r="BD44" s="186"/>
      <c r="BE44" s="186"/>
      <c r="BF44" s="8"/>
      <c r="BG44" s="8"/>
      <c r="BH44" s="8"/>
    </row>
    <row r="45" spans="1:164" ht="15.75" thickBot="1" x14ac:dyDescent="0.3">
      <c r="B45" s="8"/>
      <c r="C45" s="52" t="s">
        <v>221</v>
      </c>
      <c r="D45" s="52" t="s">
        <v>226</v>
      </c>
      <c r="E45" s="52" t="s">
        <v>401</v>
      </c>
      <c r="H45" s="8"/>
      <c r="I45" s="106" t="s">
        <v>221</v>
      </c>
      <c r="J45" s="80" t="s">
        <v>226</v>
      </c>
      <c r="M45" s="8"/>
      <c r="N45" s="106" t="s">
        <v>221</v>
      </c>
      <c r="O45" s="80" t="s">
        <v>226</v>
      </c>
      <c r="R45" s="53" t="s">
        <v>233</v>
      </c>
      <c r="S45" s="15" t="s">
        <v>219</v>
      </c>
      <c r="T45" s="119">
        <f ca="1">VLOOKUP("Global Recesion",I46:J82,2,FALSE)</f>
        <v>0.41228287841191058</v>
      </c>
      <c r="U45" s="119">
        <f ca="1">VLOOKUP("Global Recesion",N46:O82,2,FALSE)</f>
        <v>7.0642335766423354</v>
      </c>
      <c r="V45" s="50">
        <f ca="1">AVERAGE(T45:U45)</f>
        <v>3.738258227527123</v>
      </c>
      <c r="Y45" s="8"/>
      <c r="Z45" s="106" t="s">
        <v>221</v>
      </c>
      <c r="AA45" s="80" t="s">
        <v>398</v>
      </c>
      <c r="AE45" s="8"/>
      <c r="AF45" s="106" t="s">
        <v>221</v>
      </c>
      <c r="AG45" s="80" t="s">
        <v>398</v>
      </c>
      <c r="AK45" s="53" t="s">
        <v>233</v>
      </c>
      <c r="AL45" s="15" t="s">
        <v>219</v>
      </c>
      <c r="AM45" s="119">
        <f ca="1">VLOOKUP("Global Recesion",Z46:AA82,2,FALSE)</f>
        <v>3.0697674418604652</v>
      </c>
      <c r="AN45" s="119">
        <f ca="1">VLOOKUP("Global Recesion",AF46:AG82,2,FALSE)</f>
        <v>7.421166306695465</v>
      </c>
      <c r="AO45" s="50">
        <f ca="1">AVERAGE(AM45:AN45)</f>
        <v>5.2454668742779651</v>
      </c>
      <c r="AS45" s="9"/>
      <c r="AT45" s="106" t="s">
        <v>221</v>
      </c>
      <c r="AU45" s="80" t="s">
        <v>226</v>
      </c>
      <c r="AV45" s="80" t="s">
        <v>398</v>
      </c>
    </row>
    <row r="46" spans="1:164" ht="15.75" thickBot="1" x14ac:dyDescent="0.3">
      <c r="B46" s="53" t="s">
        <v>233</v>
      </c>
      <c r="C46" s="15" t="s">
        <v>219</v>
      </c>
      <c r="D46" s="22">
        <f ca="1">'Promedios del estudio'!D11</f>
        <v>14.3</v>
      </c>
      <c r="E46" s="22">
        <f ca="1">'Promedios del estudio'!E11</f>
        <v>10.1</v>
      </c>
      <c r="H46" s="8" t="str">
        <f>'Google Trends'!C255</f>
        <v>Business environment</v>
      </c>
      <c r="I46" s="15" t="str">
        <f>'Google Trends'!D255</f>
        <v>Innovative market design &amp; policies</v>
      </c>
      <c r="J46" s="50">
        <f ca="1">'Google Trends'!G255</f>
        <v>17</v>
      </c>
      <c r="M46" s="8" t="str">
        <f>'Google News'!C150</f>
        <v>Macroeconomic</v>
      </c>
      <c r="N46" s="15" t="str">
        <f>'Google News'!D150</f>
        <v>Corruption</v>
      </c>
      <c r="O46" s="50">
        <f ca="1">'Google News'!G150</f>
        <v>17</v>
      </c>
      <c r="P46" s="37"/>
      <c r="R46" s="54" t="s">
        <v>233</v>
      </c>
      <c r="S46" s="15" t="s">
        <v>1</v>
      </c>
      <c r="T46" s="119">
        <f ca="1">VLOOKUP("Global climate framework uncertainty",I46:J83,2,FALSE)</f>
        <v>12</v>
      </c>
      <c r="U46" s="119">
        <f ca="1">VLOOKUP("Global climate framework uncertainty",N46:O82,2,FALSE)</f>
        <v>2.15962441314554</v>
      </c>
      <c r="V46" s="50">
        <f t="shared" ref="V46:V81" ca="1" si="4">AVERAGE(T46:U46)</f>
        <v>7.07981220657277</v>
      </c>
      <c r="W46" s="37"/>
      <c r="Y46" s="8" t="str">
        <f>'Free Patents'!D146</f>
        <v>Vision &amp; technology</v>
      </c>
      <c r="Z46" s="15" t="str">
        <f>'Free Patents'!E146</f>
        <v>Electricity storage</v>
      </c>
      <c r="AA46" s="50">
        <f ca="1">'Free Patents'!I146</f>
        <v>8</v>
      </c>
      <c r="AE46" s="8" t="str">
        <f>Scopus!B154</f>
        <v>Vision &amp; technology</v>
      </c>
      <c r="AF46" s="15" t="str">
        <f>Scopus!C154</f>
        <v>Renewable energy</v>
      </c>
      <c r="AG46" s="50">
        <f ca="1">Scopus!G154</f>
        <v>8</v>
      </c>
      <c r="AK46" s="54" t="s">
        <v>233</v>
      </c>
      <c r="AL46" s="15" t="s">
        <v>1</v>
      </c>
      <c r="AM46" s="119">
        <f ca="1">VLOOKUP("Global climate framework uncertainty",Z46:AA83,2,FALSE)</f>
        <v>7.9781734635267085</v>
      </c>
      <c r="AN46" s="119">
        <f ca="1">VLOOKUP("Global climate framework uncertainty",AF46:AG82,2,FALSE)</f>
        <v>7.8164146868250537</v>
      </c>
      <c r="AO46" s="50">
        <f t="shared" ref="AO46:AO81" ca="1" si="5">AVERAGE(AM46:AN46)</f>
        <v>7.8972940751758811</v>
      </c>
      <c r="AS46" s="53" t="s">
        <v>233</v>
      </c>
      <c r="AT46" s="15" t="s">
        <v>219</v>
      </c>
      <c r="AU46" s="42">
        <f t="shared" ref="AU46:AU82" ca="1" si="6">V45</f>
        <v>3.738258227527123</v>
      </c>
      <c r="AV46" s="50">
        <f t="shared" ref="AV46:AV82" ca="1" si="7">AO45</f>
        <v>5.2454668742779651</v>
      </c>
      <c r="AY46" s="53" t="s">
        <v>233</v>
      </c>
      <c r="AZ46" s="15" t="s">
        <v>219</v>
      </c>
      <c r="BA46" s="147">
        <f ca="1">SQRT((D46-AU46)^2+(E46-AV46)^2)</f>
        <v>11.623978713724965</v>
      </c>
    </row>
    <row r="47" spans="1:164" ht="15.75" thickBot="1" x14ac:dyDescent="0.3">
      <c r="B47" s="54" t="s">
        <v>233</v>
      </c>
      <c r="C47" s="15" t="s">
        <v>1</v>
      </c>
      <c r="D47" s="22">
        <f ca="1">'Promedios del estudio'!D12</f>
        <v>12.2</v>
      </c>
      <c r="E47" s="22">
        <f ca="1">'Promedios del estudio'!E12</f>
        <v>11.6</v>
      </c>
      <c r="H47" s="8" t="str">
        <f>'Google Trends'!C256</f>
        <v>Macroeconomic</v>
      </c>
      <c r="I47" s="15" t="str">
        <f>'Google Trends'!D256</f>
        <v>Capital market constraints</v>
      </c>
      <c r="J47" s="50">
        <f ca="1">'Google Trends'!G256</f>
        <v>16.06559536354057</v>
      </c>
      <c r="M47" s="8" t="str">
        <f>'Google News'!C151</f>
        <v>Business environment</v>
      </c>
      <c r="N47" s="15" t="str">
        <f>'Google News'!D151</f>
        <v>New market players</v>
      </c>
      <c r="O47" s="50">
        <f ca="1">'Google News'!G151</f>
        <v>12.12781954887218</v>
      </c>
      <c r="P47" s="37"/>
      <c r="R47" s="54" t="s">
        <v>233</v>
      </c>
      <c r="S47" s="15" t="s">
        <v>2</v>
      </c>
      <c r="T47" s="119">
        <f ca="1">VLOOKUP("Large scale accidents",I46:J82,2,FALSE)</f>
        <v>3.8833746898263026</v>
      </c>
      <c r="U47" s="119">
        <f ca="1">VLOOKUP("Large scale accidents",N46:O82,2,FALSE)</f>
        <v>5.2825547445255472</v>
      </c>
      <c r="V47" s="50">
        <f t="shared" ca="1" si="4"/>
        <v>4.5829647171759245</v>
      </c>
      <c r="Y47" s="8" t="str">
        <f>'Free Patents'!D147</f>
        <v>Vision &amp; technology</v>
      </c>
      <c r="Z47" s="15" t="str">
        <f>'Free Patents'!E147</f>
        <v>Energy Efficiency</v>
      </c>
      <c r="AA47" s="50">
        <f ca="1">'Free Patents'!I147</f>
        <v>9.15253657528487</v>
      </c>
      <c r="AE47" s="8" t="str">
        <f>Scopus!B155</f>
        <v>Vision &amp; technology</v>
      </c>
      <c r="AF47" s="15" t="str">
        <f>Scopus!C155</f>
        <v>Nuclear energy</v>
      </c>
      <c r="AG47" s="50">
        <f ca="1">Scopus!G155</f>
        <v>8.6027050941726699</v>
      </c>
      <c r="AK47" s="54" t="s">
        <v>233</v>
      </c>
      <c r="AL47" s="15" t="s">
        <v>2</v>
      </c>
      <c r="AM47" s="119">
        <f ca="1">VLOOKUP("Large scale accidents",Z46:AA82,2,FALSE)</f>
        <v>7.2521539345203907</v>
      </c>
      <c r="AN47" s="119">
        <f ca="1">VLOOKUP("Large scale accidents",AF46:AG82,2,FALSE)</f>
        <v>7.064794816414687</v>
      </c>
      <c r="AO47" s="50">
        <f t="shared" ca="1" si="5"/>
        <v>7.1584743754675388</v>
      </c>
      <c r="AS47" s="54" t="s">
        <v>233</v>
      </c>
      <c r="AT47" s="15" t="s">
        <v>1</v>
      </c>
      <c r="AU47" s="42">
        <f t="shared" ca="1" si="6"/>
        <v>7.07981220657277</v>
      </c>
      <c r="AV47" s="50">
        <f t="shared" ca="1" si="7"/>
        <v>7.8972940751758811</v>
      </c>
      <c r="AY47" s="54" t="s">
        <v>233</v>
      </c>
      <c r="AZ47" s="15" t="s">
        <v>1</v>
      </c>
      <c r="BA47" s="148">
        <f t="shared" ref="BA47:BA82" ca="1" si="8">SQRT((D47-AU47)^2+(E47-AV47)^2)</f>
        <v>6.318730426730423</v>
      </c>
    </row>
    <row r="48" spans="1:164" ht="15.75" thickBot="1" x14ac:dyDescent="0.3">
      <c r="B48" s="54" t="s">
        <v>233</v>
      </c>
      <c r="C48" s="15" t="s">
        <v>2</v>
      </c>
      <c r="D48" s="22">
        <f ca="1">'Promedios del estudio'!D13</f>
        <v>10.8</v>
      </c>
      <c r="E48" s="22">
        <f ca="1">'Promedios del estudio'!E13</f>
        <v>7.1</v>
      </c>
      <c r="H48" s="8" t="str">
        <f>'Google Trends'!C257</f>
        <v>Vision &amp; technology</v>
      </c>
      <c r="I48" s="15" t="str">
        <f>'Google Trends'!D257</f>
        <v>Renewable energy</v>
      </c>
      <c r="J48" s="50">
        <f ca="1">'Google Trends'!G257</f>
        <v>15.767123287671232</v>
      </c>
      <c r="M48" s="8" t="str">
        <f>'Google News'!C152</f>
        <v>Macroeconomic</v>
      </c>
      <c r="N48" s="15" t="str">
        <f>'Google News'!D152</f>
        <v>Terrorism</v>
      </c>
      <c r="O48" s="50">
        <f ca="1">'Google News'!G152</f>
        <v>12.014755639097745</v>
      </c>
      <c r="P48" s="37"/>
      <c r="R48" s="54" t="s">
        <v>233</v>
      </c>
      <c r="S48" s="15" t="s">
        <v>3</v>
      </c>
      <c r="T48" s="119">
        <f ca="1">VLOOKUP("Capital market constraints",I46:J82,2,FALSE)</f>
        <v>16.06559536354057</v>
      </c>
      <c r="U48" s="119">
        <f ca="1">VLOOKUP("Capital market constraints",N46:O82,2,FALSE)</f>
        <v>5.1461313868613141</v>
      </c>
      <c r="V48" s="50">
        <f t="shared" ca="1" si="4"/>
        <v>10.605863375200942</v>
      </c>
      <c r="Y48" s="8" t="str">
        <f>'Free Patents'!D148</f>
        <v>Business environment</v>
      </c>
      <c r="Z48" s="15" t="str">
        <f>'Free Patents'!E148</f>
        <v>Regional interconnection</v>
      </c>
      <c r="AA48" s="50">
        <f ca="1">'Free Patents'!I148</f>
        <v>10.695618092027907</v>
      </c>
      <c r="AE48" s="8" t="str">
        <f>Scopus!B156</f>
        <v>Vision &amp; technology</v>
      </c>
      <c r="AF48" s="15" t="str">
        <f>Scopus!C156</f>
        <v>Biofuels</v>
      </c>
      <c r="AG48" s="50">
        <f ca="1">Scopus!G156</f>
        <v>9.5376058652509172</v>
      </c>
      <c r="AK48" s="54" t="s">
        <v>233</v>
      </c>
      <c r="AL48" s="15" t="s">
        <v>3</v>
      </c>
      <c r="AM48" s="119">
        <f ca="1">VLOOKUP("Capital market constraints",Z46:AA82,2,FALSE)</f>
        <v>7.6352670878805284</v>
      </c>
      <c r="AN48" s="119">
        <f ca="1">VLOOKUP("Capital market constraints",AF46:AG82,2,FALSE)</f>
        <v>7.7300215982721383</v>
      </c>
      <c r="AO48" s="50">
        <f t="shared" ca="1" si="5"/>
        <v>7.6826443430763334</v>
      </c>
      <c r="AS48" s="54" t="s">
        <v>233</v>
      </c>
      <c r="AT48" s="15" t="s">
        <v>2</v>
      </c>
      <c r="AU48" s="42">
        <f t="shared" ca="1" si="6"/>
        <v>4.5829647171759245</v>
      </c>
      <c r="AV48" s="50">
        <f t="shared" ca="1" si="7"/>
        <v>7.1584743754675388</v>
      </c>
      <c r="AY48" s="54" t="s">
        <v>233</v>
      </c>
      <c r="AZ48" s="15" t="s">
        <v>2</v>
      </c>
      <c r="BA48" s="148">
        <f t="shared" ca="1" si="8"/>
        <v>6.2173102673475897</v>
      </c>
    </row>
    <row r="49" spans="2:53" ht="15.75" thickBot="1" x14ac:dyDescent="0.3">
      <c r="B49" s="54" t="s">
        <v>233</v>
      </c>
      <c r="C49" s="15" t="s">
        <v>3</v>
      </c>
      <c r="D49" s="22">
        <f ca="1">'Promedios del estudio'!D14</f>
        <v>12.4</v>
      </c>
      <c r="E49" s="22">
        <f ca="1">'Promedios del estudio'!E14</f>
        <v>8.8000000000000007</v>
      </c>
      <c r="H49" s="8" t="str">
        <f>'Google Trends'!C258</f>
        <v>Vision &amp; technology</v>
      </c>
      <c r="I49" s="15" t="str">
        <f>'Google Trends'!D258</f>
        <v>Unconventional fossil fuels</v>
      </c>
      <c r="J49" s="50">
        <f ca="1">'Google Trends'!G258</f>
        <v>15.691780821917808</v>
      </c>
      <c r="M49" s="8" t="str">
        <f>'Google News'!C153</f>
        <v>Geopolitics &amp; regional</v>
      </c>
      <c r="N49" s="15" t="str">
        <f>'Google News'!D153</f>
        <v>Russia energy diplomacy</v>
      </c>
      <c r="O49" s="50">
        <f ca="1">'Google News'!G153</f>
        <v>12.013345864661654</v>
      </c>
      <c r="P49" s="37"/>
      <c r="R49" s="54" t="s">
        <v>233</v>
      </c>
      <c r="S49" s="15" t="s">
        <v>4</v>
      </c>
      <c r="T49" s="119">
        <f ca="1">VLOOKUP("Commodity prices &amp; volatility",I46:J82,2,FALSE)</f>
        <v>8.3819490734568731</v>
      </c>
      <c r="U49" s="119">
        <f ca="1">VLOOKUP("Commodity prices &amp; volatility",N46:O82,2,FALSE)</f>
        <v>6.6912408759124089</v>
      </c>
      <c r="V49" s="50">
        <f t="shared" ca="1" si="4"/>
        <v>7.5365949746846415</v>
      </c>
      <c r="Y49" s="8" t="str">
        <f>'Free Patents'!D149</f>
        <v>Vision &amp; technology</v>
      </c>
      <c r="Z49" s="15" t="str">
        <f>'Free Patents'!E149</f>
        <v>Future mobility</v>
      </c>
      <c r="AA49" s="50">
        <f ca="1">'Free Patents'!I149</f>
        <v>10.941329893748174</v>
      </c>
      <c r="AE49" s="8" t="str">
        <f>Scopus!B157</f>
        <v>Business environment</v>
      </c>
      <c r="AF49" s="15" t="str">
        <f>Scopus!C157</f>
        <v>Business cycle</v>
      </c>
      <c r="AG49" s="50">
        <f ca="1">Scopus!G157</f>
        <v>10.109973454683352</v>
      </c>
      <c r="AK49" s="54" t="s">
        <v>233</v>
      </c>
      <c r="AL49" s="15" t="s">
        <v>4</v>
      </c>
      <c r="AM49" s="119">
        <f ca="1">VLOOKUP("Commodity prices &amp; volatility",Z46:AA82,2,FALSE)</f>
        <v>7.6240666283744973</v>
      </c>
      <c r="AN49" s="119">
        <f ca="1">VLOOKUP("Commodity prices &amp; volatility",AF46:AG82,2,FALSE)</f>
        <v>7.8250539956803458</v>
      </c>
      <c r="AO49" s="50">
        <f t="shared" ca="1" si="5"/>
        <v>7.7245603120274211</v>
      </c>
      <c r="AS49" s="54" t="s">
        <v>233</v>
      </c>
      <c r="AT49" s="15" t="s">
        <v>3</v>
      </c>
      <c r="AU49" s="42">
        <f t="shared" ca="1" si="6"/>
        <v>10.605863375200942</v>
      </c>
      <c r="AV49" s="50">
        <f t="shared" ca="1" si="7"/>
        <v>7.6826443430763334</v>
      </c>
      <c r="AY49" s="54" t="s">
        <v>233</v>
      </c>
      <c r="AZ49" s="15" t="s">
        <v>3</v>
      </c>
      <c r="BA49" s="148">
        <f t="shared" ca="1" si="8"/>
        <v>2.1136248230243413</v>
      </c>
    </row>
    <row r="50" spans="2:53" ht="15.75" thickBot="1" x14ac:dyDescent="0.3">
      <c r="B50" s="54" t="s">
        <v>233</v>
      </c>
      <c r="C50" s="15" t="s">
        <v>4</v>
      </c>
      <c r="D50" s="22">
        <f ca="1">'Promedios del estudio'!D15</f>
        <v>11.9</v>
      </c>
      <c r="E50" s="22">
        <f ca="1">'Promedios del estudio'!E15</f>
        <v>9</v>
      </c>
      <c r="H50" s="8" t="str">
        <f>'Google Trends'!C259</f>
        <v>Vision &amp; technology</v>
      </c>
      <c r="I50" s="15" t="str">
        <f>'Google Trends'!D259</f>
        <v>Energy Efficiency</v>
      </c>
      <c r="J50" s="50">
        <f ca="1">'Google Trends'!G259</f>
        <v>15.625131717597471</v>
      </c>
      <c r="M50" s="8" t="str">
        <f>'Google News'!C154</f>
        <v>Business environment</v>
      </c>
      <c r="N50" s="15" t="str">
        <f>'Google News'!D154</f>
        <v>Business cycle</v>
      </c>
      <c r="O50" s="50">
        <f ca="1">'Google News'!G154</f>
        <v>12.013157894736842</v>
      </c>
      <c r="P50" s="37"/>
      <c r="R50" s="54" t="s">
        <v>233</v>
      </c>
      <c r="S50" s="15" t="s">
        <v>5</v>
      </c>
      <c r="T50" s="119">
        <f ca="1">VLOOKUP("Energy prices &amp; volatility",I46:J82,2,FALSE)</f>
        <v>8.8662844954006133</v>
      </c>
      <c r="U50" s="119">
        <f ca="1">VLOOKUP("Energy prices &amp; volatility",N46:O82,2,FALSE)</f>
        <v>5.5927007299270075</v>
      </c>
      <c r="V50" s="50">
        <f t="shared" ca="1" si="4"/>
        <v>7.2294926126638099</v>
      </c>
      <c r="Y50" s="8" t="str">
        <f>'Free Patents'!D150</f>
        <v>Business environment</v>
      </c>
      <c r="Z50" s="15" t="str">
        <f>'Free Patents'!E150</f>
        <v>Business cycle</v>
      </c>
      <c r="AA50" s="50">
        <f ca="1">'Free Patents'!I150</f>
        <v>11.529869519051928</v>
      </c>
      <c r="AE50" s="8" t="str">
        <f>Scopus!B158</f>
        <v>Vision &amp; technology</v>
      </c>
      <c r="AF50" s="15" t="str">
        <f>Scopus!C158</f>
        <v>Smart grids</v>
      </c>
      <c r="AG50" s="50">
        <f ca="1">Scopus!G158</f>
        <v>10.119074706105422</v>
      </c>
      <c r="AK50" s="54" t="s">
        <v>233</v>
      </c>
      <c r="AL50" s="15" t="s">
        <v>5</v>
      </c>
      <c r="AM50" s="119">
        <f ca="1">VLOOKUP("Energy prices &amp; volatility",Z46:AA82,2,FALSE)</f>
        <v>7.0829982768523836</v>
      </c>
      <c r="AN50" s="119">
        <f ca="1">VLOOKUP("Energy prices &amp; volatility",AF46:AG82,2,FALSE)</f>
        <v>7.7796976241900646</v>
      </c>
      <c r="AO50" s="50">
        <f t="shared" ca="1" si="5"/>
        <v>7.4313479505212241</v>
      </c>
      <c r="AS50" s="54" t="s">
        <v>233</v>
      </c>
      <c r="AT50" s="15" t="s">
        <v>4</v>
      </c>
      <c r="AU50" s="42">
        <f t="shared" ca="1" si="6"/>
        <v>7.5365949746846415</v>
      </c>
      <c r="AV50" s="50">
        <f t="shared" ca="1" si="7"/>
        <v>7.7245603120274211</v>
      </c>
      <c r="AY50" s="54" t="s">
        <v>233</v>
      </c>
      <c r="AZ50" s="15" t="s">
        <v>4</v>
      </c>
      <c r="BA50" s="148">
        <f t="shared" ca="1" si="8"/>
        <v>4.5459927202540609</v>
      </c>
    </row>
    <row r="51" spans="2:53" ht="15.75" thickBot="1" x14ac:dyDescent="0.3">
      <c r="B51" s="54" t="s">
        <v>233</v>
      </c>
      <c r="C51" s="15" t="s">
        <v>5</v>
      </c>
      <c r="D51" s="22">
        <f ca="1">'Promedios del estudio'!D16</f>
        <v>15.3</v>
      </c>
      <c r="E51" s="22">
        <f ca="1">'Promedios del estudio'!E16</f>
        <v>11.4</v>
      </c>
      <c r="H51" s="8" t="str">
        <f>'Google Trends'!C217</f>
        <v>Macroeconomic</v>
      </c>
      <c r="I51" s="15" t="str">
        <f>'Google Trends'!D217</f>
        <v>Global climate framework uncertainty</v>
      </c>
      <c r="J51" s="50">
        <f ca="1">'Google Trends'!G217</f>
        <v>12</v>
      </c>
      <c r="M51" s="8" t="str">
        <f>'Google News'!C111</f>
        <v>Geopolitics &amp; regional</v>
      </c>
      <c r="N51" s="15" t="str">
        <f>'Google News'!D111</f>
        <v>India growth</v>
      </c>
      <c r="O51" s="50">
        <f ca="1">'Google News'!G111</f>
        <v>12</v>
      </c>
      <c r="P51" s="37"/>
      <c r="R51" s="54" t="s">
        <v>233</v>
      </c>
      <c r="S51" s="15" t="s">
        <v>7</v>
      </c>
      <c r="T51" s="119">
        <f ca="1">VLOOKUP("Currency uncertainty",I46:J82,2,FALSE)</f>
        <v>3.279569892473118</v>
      </c>
      <c r="U51" s="119">
        <f ca="1">VLOOKUP("Currency uncertainty",N46:O82,2,FALSE)</f>
        <v>5.3770802919708025</v>
      </c>
      <c r="V51" s="50">
        <f t="shared" ca="1" si="4"/>
        <v>4.3283250922219603</v>
      </c>
      <c r="Y51" s="8" t="str">
        <f>'Free Patents'!D108</f>
        <v>Vision &amp; technology</v>
      </c>
      <c r="Z51" s="15" t="str">
        <f>'Free Patents'!E108</f>
        <v>Nuclear energy</v>
      </c>
      <c r="AA51" s="50">
        <f ca="1">'Free Patents'!I108</f>
        <v>4</v>
      </c>
      <c r="AE51" s="8" t="str">
        <f>Scopus!B115</f>
        <v>Geopolitics &amp; regional</v>
      </c>
      <c r="AF51" s="15" t="str">
        <f>Scopus!C115</f>
        <v>India growth</v>
      </c>
      <c r="AG51" s="50">
        <f ca="1">Scopus!G115</f>
        <v>4</v>
      </c>
      <c r="AK51" s="54" t="s">
        <v>233</v>
      </c>
      <c r="AL51" s="15" t="s">
        <v>7</v>
      </c>
      <c r="AM51" s="119">
        <f ca="1">VLOOKUP("Currency uncertainty",Z46:AA82,2,FALSE)</f>
        <v>7.9052268811028146</v>
      </c>
      <c r="AN51" s="119">
        <f ca="1">VLOOKUP("Currency uncertainty",AF46:AG82,2,FALSE)</f>
        <v>7.9200863930885532</v>
      </c>
      <c r="AO51" s="50">
        <f t="shared" ca="1" si="5"/>
        <v>7.9126566370956839</v>
      </c>
      <c r="AS51" s="54" t="s">
        <v>233</v>
      </c>
      <c r="AT51" s="15" t="s">
        <v>5</v>
      </c>
      <c r="AU51" s="42">
        <f t="shared" ca="1" si="6"/>
        <v>7.2294926126638099</v>
      </c>
      <c r="AV51" s="50">
        <f t="shared" ca="1" si="7"/>
        <v>7.4313479505212241</v>
      </c>
      <c r="AY51" s="54" t="s">
        <v>233</v>
      </c>
      <c r="AZ51" s="15" t="s">
        <v>5</v>
      </c>
      <c r="BA51" s="148">
        <f t="shared" ca="1" si="8"/>
        <v>8.9935136948180681</v>
      </c>
    </row>
    <row r="52" spans="2:53" ht="15.75" thickBot="1" x14ac:dyDescent="0.3">
      <c r="B52" s="54" t="s">
        <v>233</v>
      </c>
      <c r="C52" s="15" t="s">
        <v>7</v>
      </c>
      <c r="D52" s="22">
        <f ca="1">'Promedios del estudio'!D17</f>
        <v>5.5</v>
      </c>
      <c r="E52" s="22">
        <f ca="1">'Promedios del estudio'!E17</f>
        <v>5.4</v>
      </c>
      <c r="H52" s="8" t="str">
        <f>'Google Trends'!C218</f>
        <v>Geopolitics &amp; regional</v>
      </c>
      <c r="I52" s="15" t="str">
        <f>'Google Trends'!D218</f>
        <v>Brazil growth</v>
      </c>
      <c r="J52" s="50">
        <f ca="1">'Google Trends'!G218</f>
        <v>11.65471270497267</v>
      </c>
      <c r="M52" s="8" t="str">
        <f>'Google News'!C112</f>
        <v>Vision &amp; technology</v>
      </c>
      <c r="N52" s="15" t="str">
        <f>'Google News'!D112</f>
        <v>Energy Efficiency</v>
      </c>
      <c r="O52" s="50">
        <f ca="1">'Google News'!G112</f>
        <v>8.9343065693430646</v>
      </c>
      <c r="P52" s="37"/>
      <c r="R52" s="54" t="s">
        <v>233</v>
      </c>
      <c r="S52" s="15" t="s">
        <v>8</v>
      </c>
      <c r="T52" s="119">
        <f ca="1">VLOOKUP("Energy water food nexus",I46:J82,2,FALSE)</f>
        <v>10.786828422876949</v>
      </c>
      <c r="U52" s="119">
        <f ca="1">VLOOKUP("Energy water food nexus",N46:O82,2,FALSE)</f>
        <v>2.887323943661972</v>
      </c>
      <c r="V52" s="50">
        <f t="shared" ca="1" si="4"/>
        <v>6.8370761832694606</v>
      </c>
      <c r="Y52" s="8" t="str">
        <f>'Free Patents'!D109</f>
        <v>Macroeconomic</v>
      </c>
      <c r="Z52" s="15" t="str">
        <f>'Free Patents'!E109</f>
        <v xml:space="preserve">Energy affordability </v>
      </c>
      <c r="AA52" s="50">
        <f ca="1">'Free Patents'!I109</f>
        <v>4.8058587018954624</v>
      </c>
      <c r="AE52" s="8" t="str">
        <f>Scopus!B116</f>
        <v>Vision &amp; technology</v>
      </c>
      <c r="AF52" s="15" t="str">
        <f>Scopus!C116</f>
        <v>Sustainable cities</v>
      </c>
      <c r="AG52" s="50">
        <f ca="1">Scopus!G116</f>
        <v>4.9330453563714904</v>
      </c>
      <c r="AK52" s="54" t="s">
        <v>233</v>
      </c>
      <c r="AL52" s="15" t="s">
        <v>8</v>
      </c>
      <c r="AM52" s="119">
        <f ca="1">VLOOKUP("Energy water food nexus",Z46:AA82,2,FALSE)</f>
        <v>0</v>
      </c>
      <c r="AN52" s="119">
        <f ca="1">VLOOKUP("Energy water food nexus",AF46:AG82,2,FALSE)</f>
        <v>7.9697624190064795</v>
      </c>
      <c r="AO52" s="50">
        <f t="shared" ca="1" si="5"/>
        <v>3.9848812095032398</v>
      </c>
      <c r="AS52" s="54" t="s">
        <v>233</v>
      </c>
      <c r="AT52" s="15" t="s">
        <v>7</v>
      </c>
      <c r="AU52" s="42">
        <f t="shared" ca="1" si="6"/>
        <v>4.3283250922219603</v>
      </c>
      <c r="AV52" s="50">
        <f t="shared" ca="1" si="7"/>
        <v>7.9126566370956839</v>
      </c>
      <c r="AY52" s="54" t="s">
        <v>233</v>
      </c>
      <c r="AZ52" s="15" t="s">
        <v>7</v>
      </c>
      <c r="BA52" s="148">
        <f t="shared" ca="1" si="8"/>
        <v>2.7724114892017142</v>
      </c>
    </row>
    <row r="53" spans="2:53" ht="15.75" thickBot="1" x14ac:dyDescent="0.3">
      <c r="B53" s="54" t="s">
        <v>233</v>
      </c>
      <c r="C53" s="15" t="s">
        <v>8</v>
      </c>
      <c r="D53" s="22">
        <f ca="1">'Promedios del estudio'!D18</f>
        <v>7.8</v>
      </c>
      <c r="E53" s="22">
        <f ca="1">'Promedios del estudio'!E18</f>
        <v>4.7</v>
      </c>
      <c r="H53" s="8" t="str">
        <f>'Google Trends'!C219</f>
        <v>Business environment</v>
      </c>
      <c r="I53" s="15" t="str">
        <f>'Google Trends'!D219</f>
        <v>New market players</v>
      </c>
      <c r="J53" s="50">
        <f ca="1">'Google Trends'!G219</f>
        <v>11.623916811091853</v>
      </c>
      <c r="M53" s="8" t="str">
        <f>'Google News'!C113</f>
        <v>Vision &amp; technology</v>
      </c>
      <c r="N53" s="15" t="str">
        <f>'Google News'!D113</f>
        <v>Nuclear energy</v>
      </c>
      <c r="O53" s="50">
        <f ca="1">'Google News'!G113</f>
        <v>8.3875912408759117</v>
      </c>
      <c r="P53" s="37"/>
      <c r="R53" s="54" t="s">
        <v>233</v>
      </c>
      <c r="S53" s="38" t="s">
        <v>9</v>
      </c>
      <c r="T53" s="119">
        <f ca="1">VLOOKUP("Talent scarcity",I46:J82,2,FALSE)</f>
        <v>9.0519930675909883</v>
      </c>
      <c r="U53" s="119">
        <f ca="1">VLOOKUP("Talent scarcity",N46:O82,2,FALSE)</f>
        <v>4.066901408450704</v>
      </c>
      <c r="V53" s="50">
        <f t="shared" ca="1" si="4"/>
        <v>6.5594472380208462</v>
      </c>
      <c r="Y53" s="8" t="str">
        <f>'Free Patents'!D110</f>
        <v>Macroeconomic</v>
      </c>
      <c r="Z53" s="15" t="str">
        <f>'Free Patents'!E110</f>
        <v>Corruption</v>
      </c>
      <c r="AA53" s="50">
        <f ca="1">'Free Patents'!I110</f>
        <v>4.9178632969557725</v>
      </c>
      <c r="AE53" s="8" t="str">
        <f>Scopus!B117</f>
        <v>Macroeconomic</v>
      </c>
      <c r="AF53" s="15" t="str">
        <f>Scopus!C117</f>
        <v>Corruption</v>
      </c>
      <c r="AG53" s="50">
        <f ca="1">Scopus!G117</f>
        <v>5.0367170626349891</v>
      </c>
      <c r="AK53" s="54" t="s">
        <v>233</v>
      </c>
      <c r="AL53" s="38" t="s">
        <v>9</v>
      </c>
      <c r="AM53" s="119">
        <f ca="1">VLOOKUP("Talent scarcity",Z46:AA82,2,FALSE)</f>
        <v>3.441860465116279</v>
      </c>
      <c r="AN53" s="119">
        <f ca="1">VLOOKUP("Talent scarcity",AF46:AG82,2,FALSE)</f>
        <v>3.6923076923076925</v>
      </c>
      <c r="AO53" s="50">
        <f t="shared" ca="1" si="5"/>
        <v>3.5670840787119857</v>
      </c>
      <c r="AS53" s="54" t="s">
        <v>233</v>
      </c>
      <c r="AT53" s="15" t="s">
        <v>8</v>
      </c>
      <c r="AU53" s="42">
        <f t="shared" ca="1" si="6"/>
        <v>6.8370761832694606</v>
      </c>
      <c r="AV53" s="50">
        <f t="shared" ca="1" si="7"/>
        <v>3.9848812095032398</v>
      </c>
      <c r="AY53" s="54" t="s">
        <v>233</v>
      </c>
      <c r="AZ53" s="15" t="s">
        <v>8</v>
      </c>
      <c r="BA53" s="148">
        <f t="shared" ca="1" si="8"/>
        <v>1.1994236788343218</v>
      </c>
    </row>
    <row r="54" spans="2:53" ht="15.75" thickBot="1" x14ac:dyDescent="0.3">
      <c r="B54" s="54" t="s">
        <v>233</v>
      </c>
      <c r="C54" s="38" t="s">
        <v>9</v>
      </c>
      <c r="D54" s="22">
        <f ca="1">'Promedios del estudio'!D19</f>
        <v>8.9</v>
      </c>
      <c r="E54" s="22">
        <f ca="1">'Promedios del estudio'!E19</f>
        <v>3.7</v>
      </c>
      <c r="H54" s="8" t="str">
        <f>'Google Trends'!C220</f>
        <v>Geopolitics &amp; regional</v>
      </c>
      <c r="I54" s="15" t="str">
        <f>'Google Trends'!D220</f>
        <v>India growth</v>
      </c>
      <c r="J54" s="50">
        <f ca="1">'Google Trends'!G220</f>
        <v>11.531529129449407</v>
      </c>
      <c r="M54" s="8" t="str">
        <f>'Google News'!C114</f>
        <v>Geopolitics &amp; regional</v>
      </c>
      <c r="N54" s="15" t="str">
        <f>'Google News'!D114</f>
        <v>Brazil growth</v>
      </c>
      <c r="O54" s="50">
        <f ca="1">'Google News'!G114</f>
        <v>8.1321167883211682</v>
      </c>
      <c r="P54" s="37"/>
      <c r="R54" s="54" t="s">
        <v>233</v>
      </c>
      <c r="S54" s="15" t="s">
        <v>10</v>
      </c>
      <c r="T54" s="119">
        <f ca="1">VLOOKUP("Energy poverty",I46:J82,2,FALSE)</f>
        <v>9.9889348086921732</v>
      </c>
      <c r="U54" s="119">
        <f ca="1">VLOOKUP("Energy poverty",N46:O82,2,FALSE)</f>
        <v>7.4627737226277375</v>
      </c>
      <c r="V54" s="50">
        <f t="shared" ca="1" si="4"/>
        <v>8.7258542656599545</v>
      </c>
      <c r="Y54" s="8" t="str">
        <f>'Free Patents'!D111</f>
        <v>Vision &amp; technology</v>
      </c>
      <c r="Z54" s="15" t="str">
        <f>'Free Patents'!E111</f>
        <v>Carbon capture, utilisation &amp; storage (CCUS)</v>
      </c>
      <c r="AA54" s="50">
        <f ca="1">'Free Patents'!I111</f>
        <v>5.3532452613440551</v>
      </c>
      <c r="AE54" s="8" t="str">
        <f>Scopus!B118</f>
        <v>Vision &amp; technology</v>
      </c>
      <c r="AF54" s="15" t="str">
        <f>Scopus!C118</f>
        <v>Future mobility</v>
      </c>
      <c r="AG54" s="50">
        <f ca="1">Scopus!G118</f>
        <v>5.388768898488121</v>
      </c>
      <c r="AK54" s="54" t="s">
        <v>233</v>
      </c>
      <c r="AL54" s="15" t="s">
        <v>10</v>
      </c>
      <c r="AM54" s="119">
        <f ca="1">VLOOKUP("Energy poverty",Z46:AA82,2,FALSE)</f>
        <v>7.9707064905226881</v>
      </c>
      <c r="AN54" s="119">
        <f ca="1">VLOOKUP("Energy poverty",AF46:AG82,2,FALSE)</f>
        <v>7.5205183585313176</v>
      </c>
      <c r="AO54" s="50">
        <f t="shared" ca="1" si="5"/>
        <v>7.7456124245270033</v>
      </c>
      <c r="AS54" s="54" t="s">
        <v>233</v>
      </c>
      <c r="AT54" s="38" t="s">
        <v>9</v>
      </c>
      <c r="AU54" s="42">
        <f t="shared" ca="1" si="6"/>
        <v>6.5594472380208462</v>
      </c>
      <c r="AV54" s="50">
        <f t="shared" ca="1" si="7"/>
        <v>3.5670840787119857</v>
      </c>
      <c r="AY54" s="54" t="s">
        <v>233</v>
      </c>
      <c r="AZ54" s="38" t="s">
        <v>9</v>
      </c>
      <c r="BA54" s="148">
        <f t="shared" ca="1" si="8"/>
        <v>2.3443237561693753</v>
      </c>
    </row>
    <row r="55" spans="2:53" ht="15.75" thickBot="1" x14ac:dyDescent="0.3">
      <c r="B55" s="54" t="s">
        <v>233</v>
      </c>
      <c r="C55" s="15" t="s">
        <v>10</v>
      </c>
      <c r="D55" s="22">
        <f ca="1">'Promedios del estudio'!D20</f>
        <v>7.5</v>
      </c>
      <c r="E55" s="22">
        <f ca="1">'Promedios del estudio'!E20</f>
        <v>2.7</v>
      </c>
      <c r="H55" s="8" t="str">
        <f>'Google Trends'!C221</f>
        <v>Vision &amp; technology</v>
      </c>
      <c r="I55" s="15" t="str">
        <f>'Google Trends'!D221</f>
        <v>Smart grids</v>
      </c>
      <c r="J55" s="50">
        <f ca="1">'Google Trends'!G221</f>
        <v>11.408345553926143</v>
      </c>
      <c r="M55" s="8" t="str">
        <f>'Google News'!C115</f>
        <v>Vision &amp; technology</v>
      </c>
      <c r="N55" s="15" t="str">
        <f>'Google News'!D115</f>
        <v>Renewable energy</v>
      </c>
      <c r="O55" s="50">
        <f ca="1">'Google News'!G115</f>
        <v>7.7233576642335766</v>
      </c>
      <c r="P55" s="37"/>
      <c r="R55" s="54" t="s">
        <v>233</v>
      </c>
      <c r="S55" s="15" t="s">
        <v>12</v>
      </c>
      <c r="T55" s="119">
        <f ca="1">VLOOKUP("Energy affordability ",I46:J82,2,FALSE)</f>
        <v>8.7850953206239168</v>
      </c>
      <c r="U55" s="119">
        <f ca="1">VLOOKUP("Energy affordability ",N46:O82,2,FALSE)</f>
        <v>5.2723357664233577</v>
      </c>
      <c r="V55" s="50">
        <f t="shared" ca="1" si="4"/>
        <v>7.0287155435236368</v>
      </c>
      <c r="Y55" s="8" t="str">
        <f>'Free Patents'!D112</f>
        <v>Vision &amp; technology</v>
      </c>
      <c r="Z55" s="15" t="str">
        <f>'Free Patents'!E112</f>
        <v>Renewable energy</v>
      </c>
      <c r="AA55" s="50">
        <f ca="1">'Free Patents'!I112</f>
        <v>5.4569213095921878</v>
      </c>
      <c r="AE55" s="8" t="str">
        <f>Scopus!B119</f>
        <v>Vision &amp; technology</v>
      </c>
      <c r="AF55" s="15" t="str">
        <f>Scopus!C119</f>
        <v>Electricity storage</v>
      </c>
      <c r="AG55" s="50">
        <f ca="1">Scopus!G119</f>
        <v>5.7948164146868244</v>
      </c>
      <c r="AK55" s="54" t="s">
        <v>233</v>
      </c>
      <c r="AL55" s="15" t="s">
        <v>12</v>
      </c>
      <c r="AM55" s="119">
        <f ca="1">VLOOKUP("Energy affordability ",Z46:AA82,2,FALSE)</f>
        <v>4.8058587018954624</v>
      </c>
      <c r="AN55" s="119">
        <f ca="1">VLOOKUP("Energy affordability ",AF46:AG82,2,FALSE)</f>
        <v>7.907127429805616</v>
      </c>
      <c r="AO55" s="50">
        <f t="shared" ca="1" si="5"/>
        <v>6.3564930658505396</v>
      </c>
      <c r="AS55" s="54" t="s">
        <v>233</v>
      </c>
      <c r="AT55" s="15" t="s">
        <v>10</v>
      </c>
      <c r="AU55" s="42">
        <f t="shared" ca="1" si="6"/>
        <v>8.7258542656599545</v>
      </c>
      <c r="AV55" s="50">
        <f t="shared" ca="1" si="7"/>
        <v>7.7456124245270033</v>
      </c>
      <c r="AY55" s="54" t="s">
        <v>233</v>
      </c>
      <c r="AZ55" s="15" t="s">
        <v>10</v>
      </c>
      <c r="BA55" s="148">
        <f t="shared" ca="1" si="8"/>
        <v>5.1923909154818046</v>
      </c>
    </row>
    <row r="56" spans="2:53" ht="15.75" thickBot="1" x14ac:dyDescent="0.3">
      <c r="B56" s="54" t="s">
        <v>233</v>
      </c>
      <c r="C56" s="15" t="s">
        <v>12</v>
      </c>
      <c r="D56" s="22">
        <f ca="1">'Promedios del estudio'!D21</f>
        <v>9.8000000000000007</v>
      </c>
      <c r="E56" s="22">
        <f ca="1">'Promedios del estudio'!E21</f>
        <v>6.8</v>
      </c>
      <c r="H56" s="8" t="str">
        <f>'Google Trends'!C222</f>
        <v>Vision &amp; technology</v>
      </c>
      <c r="I56" s="15" t="str">
        <f>'Google Trends'!D222</f>
        <v>Future mobility</v>
      </c>
      <c r="J56" s="50">
        <f ca="1">'Google Trends'!G222</f>
        <v>11.31035861885082</v>
      </c>
      <c r="M56" s="8" t="str">
        <f>'Google News'!C116</f>
        <v>Macroeconomic</v>
      </c>
      <c r="N56" s="15" t="str">
        <f>'Google News'!D116</f>
        <v>Energy poverty</v>
      </c>
      <c r="O56" s="50">
        <f ca="1">'Google News'!G116</f>
        <v>7.4627737226277375</v>
      </c>
      <c r="P56" s="37"/>
      <c r="R56" s="54" t="s">
        <v>233</v>
      </c>
      <c r="S56" s="15" t="s">
        <v>11</v>
      </c>
      <c r="T56" s="119">
        <f ca="1">VLOOKUP("Corruption",I46:J82,2,FALSE)</f>
        <v>10.414478069590722</v>
      </c>
      <c r="U56" s="119">
        <f ca="1">VLOOKUP("Corruption",N46:O82,2,FALSE)</f>
        <v>17</v>
      </c>
      <c r="V56" s="50">
        <f t="shared" ca="1" si="4"/>
        <v>13.707239034795361</v>
      </c>
      <c r="Y56" s="8" t="str">
        <f>'Free Patents'!D113</f>
        <v>Vision &amp; technology</v>
      </c>
      <c r="Z56" s="15" t="str">
        <f>'Free Patents'!E113</f>
        <v>Smart grids</v>
      </c>
      <c r="AA56" s="50">
        <f ca="1">'Free Patents'!I113</f>
        <v>5.7306145893164846</v>
      </c>
      <c r="AE56" s="8" t="str">
        <f>Scopus!B120</f>
        <v>Geopolitics &amp; regional</v>
      </c>
      <c r="AF56" s="15" t="str">
        <f>Scopus!C120</f>
        <v>Brazil growth</v>
      </c>
      <c r="AG56" s="50">
        <f ca="1">Scopus!G120</f>
        <v>5.8077753779697625</v>
      </c>
      <c r="AK56" s="54" t="s">
        <v>233</v>
      </c>
      <c r="AL56" s="15" t="s">
        <v>11</v>
      </c>
      <c r="AM56" s="119">
        <f ca="1">VLOOKUP("Corruption",Z46:AA82,2,FALSE)</f>
        <v>4.9178632969557725</v>
      </c>
      <c r="AN56" s="119">
        <f ca="1">VLOOKUP("Corruption",AF46:AG82,2,FALSE)</f>
        <v>5.0367170626349891</v>
      </c>
      <c r="AO56" s="50">
        <f t="shared" ca="1" si="5"/>
        <v>4.9772901797953804</v>
      </c>
      <c r="AS56" s="54" t="s">
        <v>233</v>
      </c>
      <c r="AT56" s="15" t="s">
        <v>12</v>
      </c>
      <c r="AU56" s="42">
        <f t="shared" ca="1" si="6"/>
        <v>7.0287155435236368</v>
      </c>
      <c r="AV56" s="50">
        <f t="shared" ca="1" si="7"/>
        <v>6.3564930658505396</v>
      </c>
      <c r="AY56" s="54" t="s">
        <v>233</v>
      </c>
      <c r="AZ56" s="15" t="s">
        <v>12</v>
      </c>
      <c r="BA56" s="148">
        <f t="shared" ca="1" si="8"/>
        <v>2.8065487594813225</v>
      </c>
    </row>
    <row r="57" spans="2:53" ht="15.75" thickBot="1" x14ac:dyDescent="0.3">
      <c r="B57" s="54" t="s">
        <v>233</v>
      </c>
      <c r="C57" s="15" t="s">
        <v>11</v>
      </c>
      <c r="D57" s="22">
        <f ca="1">'Promedios del estudio'!D22</f>
        <v>8.1</v>
      </c>
      <c r="E57" s="22">
        <f ca="1">'Promedios del estudio'!E22</f>
        <v>4.7</v>
      </c>
      <c r="H57" s="8" t="str">
        <f>'Google Trends'!C223</f>
        <v>Business environment</v>
      </c>
      <c r="I57" s="15" t="str">
        <f>'Google Trends'!D223</f>
        <v>Business cycle</v>
      </c>
      <c r="J57" s="50">
        <f ca="1">'Google Trends'!G223</f>
        <v>11.189974670043993</v>
      </c>
      <c r="M57" s="8" t="str">
        <f>'Google News'!C117</f>
        <v>Macroeconomic</v>
      </c>
      <c r="N57" s="15" t="str">
        <f>'Google News'!D117</f>
        <v>Global Recesion</v>
      </c>
      <c r="O57" s="50">
        <f ca="1">'Google News'!G117</f>
        <v>7.0642335766423354</v>
      </c>
      <c r="P57" s="37"/>
      <c r="R57" s="54" t="s">
        <v>233</v>
      </c>
      <c r="S57" s="15" t="s">
        <v>19</v>
      </c>
      <c r="T57" s="119">
        <f ca="1">VLOOKUP("Terrorism",I46:J82,2,FALSE)</f>
        <v>7.1305159312091719</v>
      </c>
      <c r="U57" s="119">
        <f ca="1">VLOOKUP("Terrorism",N46:O82,2,FALSE)</f>
        <v>12.014755639097745</v>
      </c>
      <c r="V57" s="50">
        <f t="shared" ca="1" si="4"/>
        <v>9.5726357851534587</v>
      </c>
      <c r="Y57" s="8" t="str">
        <f>'Free Patents'!D114</f>
        <v>Business environment</v>
      </c>
      <c r="Z57" s="15" t="str">
        <f>'Free Patents'!E114</f>
        <v>New market players</v>
      </c>
      <c r="AA57" s="50">
        <f ca="1">'Free Patents'!I114</f>
        <v>5.7963813900057435</v>
      </c>
      <c r="AE57" s="8" t="str">
        <f>Scopus!B121</f>
        <v>Vision &amp; technology</v>
      </c>
      <c r="AF57" s="15" t="str">
        <f>Scopus!C121</f>
        <v>Hydro power</v>
      </c>
      <c r="AG57" s="50">
        <f ca="1">Scopus!G121</f>
        <v>6.1511879049676024</v>
      </c>
      <c r="AK57" s="54" t="s">
        <v>233</v>
      </c>
      <c r="AL57" s="15" t="s">
        <v>19</v>
      </c>
      <c r="AM57" s="119">
        <f ca="1">VLOOKUP("Terrorism",Z46:AA82,2,FALSE)</f>
        <v>7.711085582998277</v>
      </c>
      <c r="AN57" s="119">
        <f ca="1">VLOOKUP("Terrorism",AF46:AG82,2,FALSE)</f>
        <v>7.2699784017278617</v>
      </c>
      <c r="AO57" s="50">
        <f t="shared" ca="1" si="5"/>
        <v>7.4905319923630689</v>
      </c>
      <c r="AS57" s="54" t="s">
        <v>233</v>
      </c>
      <c r="AT57" s="15" t="s">
        <v>11</v>
      </c>
      <c r="AU57" s="42">
        <f t="shared" ca="1" si="6"/>
        <v>13.707239034795361</v>
      </c>
      <c r="AV57" s="50">
        <f t="shared" ca="1" si="7"/>
        <v>4.9772901797953804</v>
      </c>
      <c r="AY57" s="54" t="s">
        <v>233</v>
      </c>
      <c r="AZ57" s="15" t="s">
        <v>11</v>
      </c>
      <c r="BA57" s="148">
        <f t="shared" ca="1" si="8"/>
        <v>5.6140911497003474</v>
      </c>
    </row>
    <row r="58" spans="2:53" ht="15.75" thickBot="1" x14ac:dyDescent="0.3">
      <c r="B58" s="54" t="s">
        <v>233</v>
      </c>
      <c r="C58" s="15" t="s">
        <v>19</v>
      </c>
      <c r="D58" s="22">
        <f ca="1">'Promedios del estudio'!D23</f>
        <v>6</v>
      </c>
      <c r="E58" s="22">
        <f ca="1">'Promedios del estudio'!E23</f>
        <v>7.1</v>
      </c>
      <c r="H58" s="8" t="str">
        <f>'Google Trends'!C224</f>
        <v>Macroeconomic</v>
      </c>
      <c r="I58" s="15" t="str">
        <f>'Google Trends'!D224</f>
        <v>Energy water food nexus</v>
      </c>
      <c r="J58" s="50">
        <f ca="1">'Google Trends'!G224</f>
        <v>10.786828422876949</v>
      </c>
      <c r="M58" s="8" t="str">
        <f>'Google News'!C118</f>
        <v>Macroeconomic</v>
      </c>
      <c r="N58" s="15" t="str">
        <f>'Google News'!D118</f>
        <v>Commodity prices &amp; volatility</v>
      </c>
      <c r="O58" s="50">
        <f ca="1">'Google News'!G118</f>
        <v>6.6912408759124089</v>
      </c>
      <c r="P58" s="37"/>
      <c r="R58" s="55" t="s">
        <v>235</v>
      </c>
      <c r="S58" s="15" t="s">
        <v>13</v>
      </c>
      <c r="T58" s="119">
        <f ca="1">VLOOKUP("India growth",I46:J82,2,FALSE)</f>
        <v>11.531529129449407</v>
      </c>
      <c r="U58" s="119">
        <f ca="1">VLOOKUP("India growth",N46:O82,2,FALSE)</f>
        <v>12</v>
      </c>
      <c r="V58" s="50">
        <f t="shared" ca="1" si="4"/>
        <v>11.765764564724703</v>
      </c>
      <c r="Y58" s="8" t="str">
        <f>'Free Patents'!D115</f>
        <v>Business environment</v>
      </c>
      <c r="Z58" s="15" t="str">
        <f>'Free Patents'!E115</f>
        <v>Trade barriers</v>
      </c>
      <c r="AA58" s="50">
        <f ca="1">'Free Patents'!I115</f>
        <v>6.3653072946582423</v>
      </c>
      <c r="AE58" s="8" t="str">
        <f>Scopus!B122</f>
        <v>Macroeconomic</v>
      </c>
      <c r="AF58" s="15" t="str">
        <f>Scopus!C122</f>
        <v>Large scale accidents</v>
      </c>
      <c r="AG58" s="50">
        <f ca="1">Scopus!G122</f>
        <v>7.064794816414687</v>
      </c>
      <c r="AK58" s="55" t="s">
        <v>235</v>
      </c>
      <c r="AL58" s="15" t="s">
        <v>13</v>
      </c>
      <c r="AM58" s="119">
        <f ca="1">VLOOKUP("India growth",Z46:AA82,2,FALSE)</f>
        <v>7.3134692705341759</v>
      </c>
      <c r="AN58" s="119">
        <f ca="1">VLOOKUP("India growth",AF46:AG82,2,FALSE)</f>
        <v>4</v>
      </c>
      <c r="AO58" s="50">
        <f t="shared" ca="1" si="5"/>
        <v>5.656734635267088</v>
      </c>
      <c r="AS58" s="55" t="s">
        <v>235</v>
      </c>
      <c r="AT58" s="15" t="s">
        <v>19</v>
      </c>
      <c r="AU58" s="42">
        <f t="shared" ca="1" si="6"/>
        <v>9.5726357851534587</v>
      </c>
      <c r="AV58" s="50">
        <f t="shared" ca="1" si="7"/>
        <v>7.4905319923630689</v>
      </c>
      <c r="AY58" s="55" t="s">
        <v>235</v>
      </c>
      <c r="AZ58" s="15" t="s">
        <v>19</v>
      </c>
      <c r="BA58" s="148">
        <f t="shared" ca="1" si="8"/>
        <v>3.5939173182501207</v>
      </c>
    </row>
    <row r="59" spans="2:53" ht="15.75" thickBot="1" x14ac:dyDescent="0.3">
      <c r="B59" s="55" t="s">
        <v>235</v>
      </c>
      <c r="C59" s="15" t="s">
        <v>13</v>
      </c>
      <c r="D59" s="22">
        <f ca="1">'Promedios del estudio'!D24</f>
        <v>13.4</v>
      </c>
      <c r="E59" s="22">
        <f ca="1">'Promedios del estudio'!E24</f>
        <v>5.4</v>
      </c>
      <c r="H59" s="8" t="str">
        <f>'Google Trends'!C225</f>
        <v>Vision &amp; technology</v>
      </c>
      <c r="I59" s="15" t="str">
        <f>'Google Trends'!D225</f>
        <v>Electricity storage</v>
      </c>
      <c r="J59" s="50">
        <f ca="1">'Google Trends'!G225</f>
        <v>10.599253432875617</v>
      </c>
      <c r="M59" s="8" t="str">
        <f>'Google News'!C119</f>
        <v>Vision &amp; technology</v>
      </c>
      <c r="N59" s="15" t="str">
        <f>'Google News'!D119</f>
        <v>Future mobility</v>
      </c>
      <c r="O59" s="50">
        <f ca="1">'Google News'!G119</f>
        <v>6.6554744525547447</v>
      </c>
      <c r="P59" s="37"/>
      <c r="R59" s="55" t="s">
        <v>235</v>
      </c>
      <c r="S59" s="15" t="s">
        <v>15</v>
      </c>
      <c r="T59" s="119">
        <f ca="1">VLOOKUP("Brazil growth",I46:J82,2,FALSE)</f>
        <v>11.65471270497267</v>
      </c>
      <c r="U59" s="119">
        <f ca="1">VLOOKUP("Brazil growth",N46:O82,2,FALSE)</f>
        <v>8.1321167883211682</v>
      </c>
      <c r="V59" s="50">
        <f t="shared" ca="1" si="4"/>
        <v>9.8934147466469184</v>
      </c>
      <c r="Y59" s="8" t="str">
        <f>'Free Patents'!D116</f>
        <v>Vision &amp; technology</v>
      </c>
      <c r="Z59" s="15" t="str">
        <f>'Free Patents'!E116</f>
        <v>Sustainable cities</v>
      </c>
      <c r="AA59" s="50">
        <f ca="1">'Free Patents'!I116</f>
        <v>6.4606547960941985</v>
      </c>
      <c r="AE59" s="8" t="str">
        <f>Scopus!B123</f>
        <v>Business environment</v>
      </c>
      <c r="AF59" s="15" t="str">
        <f>Scopus!C123</f>
        <v>Trade barriers</v>
      </c>
      <c r="AG59" s="50">
        <f ca="1">Scopus!G123</f>
        <v>7.2699784017278617</v>
      </c>
      <c r="AK59" s="55" t="s">
        <v>235</v>
      </c>
      <c r="AL59" s="15" t="s">
        <v>15</v>
      </c>
      <c r="AM59" s="119">
        <f ca="1">VLOOKUP("Brazil growth",Z46:AA82,2,FALSE)</f>
        <v>7.7665134979896617</v>
      </c>
      <c r="AN59" s="119">
        <f ca="1">VLOOKUP("Brazil growth",AF46:AG82,2,FALSE)</f>
        <v>5.8077753779697625</v>
      </c>
      <c r="AO59" s="50">
        <f t="shared" ca="1" si="5"/>
        <v>6.7871444379797126</v>
      </c>
      <c r="AS59" s="55" t="s">
        <v>235</v>
      </c>
      <c r="AT59" s="15" t="s">
        <v>13</v>
      </c>
      <c r="AU59" s="42">
        <f t="shared" ca="1" si="6"/>
        <v>11.765764564724703</v>
      </c>
      <c r="AV59" s="50">
        <f t="shared" ca="1" si="7"/>
        <v>5.656734635267088</v>
      </c>
      <c r="AY59" s="55" t="s">
        <v>235</v>
      </c>
      <c r="AZ59" s="15" t="s">
        <v>13</v>
      </c>
      <c r="BA59" s="148">
        <f t="shared" ca="1" si="8"/>
        <v>1.6542787343296064</v>
      </c>
    </row>
    <row r="60" spans="2:53" ht="15.75" thickBot="1" x14ac:dyDescent="0.3">
      <c r="B60" s="55" t="s">
        <v>235</v>
      </c>
      <c r="C60" s="15" t="s">
        <v>15</v>
      </c>
      <c r="D60" s="22">
        <f ca="1">'Promedios del estudio'!D25</f>
        <v>3.6</v>
      </c>
      <c r="E60" s="22">
        <f ca="1">'Promedios del estudio'!E25</f>
        <v>1.7</v>
      </c>
      <c r="H60" s="8" t="str">
        <f>'Google Trends'!C226</f>
        <v>Macroeconomic</v>
      </c>
      <c r="I60" s="15" t="str">
        <f>'Google Trends'!D226</f>
        <v>Corruption</v>
      </c>
      <c r="J60" s="50">
        <f ca="1">'Google Trends'!G226</f>
        <v>10.414478069590722</v>
      </c>
      <c r="M60" s="8" t="str">
        <f>'Google News'!C120</f>
        <v>Business environment</v>
      </c>
      <c r="N60" s="15" t="str">
        <f>'Google News'!D120</f>
        <v>Innovative market design &amp; policies</v>
      </c>
      <c r="O60" s="50">
        <f ca="1">'Google News'!G120</f>
        <v>5.9810218978102192</v>
      </c>
      <c r="P60" s="37"/>
      <c r="R60" s="55" t="s">
        <v>235</v>
      </c>
      <c r="S60" s="15" t="s">
        <v>16</v>
      </c>
      <c r="T60" s="119">
        <f ca="1">VLOOKUP("Russia energy diplomacy",I46:J82,2,FALSE)</f>
        <v>6.9896013864818025</v>
      </c>
      <c r="U60" s="119">
        <f ca="1">VLOOKUP("Russia energy diplomacy",N46:O82,2,FALSE)</f>
        <v>12.013345864661654</v>
      </c>
      <c r="V60" s="50">
        <f t="shared" ca="1" si="4"/>
        <v>9.5014736255717285</v>
      </c>
      <c r="Y60" s="8" t="str">
        <f>'Free Patents'!D117</f>
        <v>Macroeconomic</v>
      </c>
      <c r="Z60" s="15" t="str">
        <f>'Free Patents'!E117</f>
        <v>Energy prices &amp; volatility</v>
      </c>
      <c r="AA60" s="50">
        <f ca="1">'Free Patents'!I117</f>
        <v>7.0829982768523836</v>
      </c>
      <c r="AE60" s="8" t="str">
        <f>Scopus!B124</f>
        <v>Macroeconomic</v>
      </c>
      <c r="AF60" s="15" t="str">
        <f>Scopus!C124</f>
        <v>Terrorism</v>
      </c>
      <c r="AG60" s="50">
        <f ca="1">Scopus!G124</f>
        <v>7.2699784017278617</v>
      </c>
      <c r="AK60" s="55" t="s">
        <v>235</v>
      </c>
      <c r="AL60" s="15" t="s">
        <v>16</v>
      </c>
      <c r="AM60" s="119">
        <f ca="1">VLOOKUP("Russia energy diplomacy",Z46:AA82,2,FALSE)</f>
        <v>3.9069767441860463</v>
      </c>
      <c r="AN60" s="119">
        <f ca="1">VLOOKUP("Russia energy diplomacy",AF46:AG82,2,FALSE)</f>
        <v>4</v>
      </c>
      <c r="AO60" s="50">
        <f t="shared" ca="1" si="5"/>
        <v>3.9534883720930232</v>
      </c>
      <c r="AS60" s="55" t="s">
        <v>235</v>
      </c>
      <c r="AT60" s="15" t="s">
        <v>15</v>
      </c>
      <c r="AU60" s="42">
        <f t="shared" ca="1" si="6"/>
        <v>9.8934147466469184</v>
      </c>
      <c r="AV60" s="50">
        <f t="shared" ca="1" si="7"/>
        <v>6.7871444379797126</v>
      </c>
      <c r="AY60" s="55" t="s">
        <v>235</v>
      </c>
      <c r="AZ60" s="15" t="s">
        <v>15</v>
      </c>
      <c r="BA60" s="148">
        <f t="shared" ca="1" si="8"/>
        <v>8.0923487138272066</v>
      </c>
    </row>
    <row r="61" spans="2:53" ht="15.75" thickBot="1" x14ac:dyDescent="0.3">
      <c r="B61" s="55" t="s">
        <v>235</v>
      </c>
      <c r="C61" s="15" t="s">
        <v>16</v>
      </c>
      <c r="D61" s="22">
        <f ca="1">'Promedios del estudio'!D26</f>
        <v>7.8</v>
      </c>
      <c r="E61" s="22">
        <f ca="1">'Promedios del estudio'!E26</f>
        <v>6.1</v>
      </c>
      <c r="H61" s="8" t="str">
        <f>'Google Trends'!C227</f>
        <v>Vision &amp; technology</v>
      </c>
      <c r="I61" s="15" t="str">
        <f>'Google Trends'!D227</f>
        <v>Sustainable cities</v>
      </c>
      <c r="J61" s="50">
        <f ca="1">'Google Trends'!G227</f>
        <v>10.366884415411278</v>
      </c>
      <c r="M61" s="8" t="str">
        <f>'Google News'!C121</f>
        <v>Business environment</v>
      </c>
      <c r="N61" s="15" t="str">
        <f>'Google News'!D121</f>
        <v>Trade barriers</v>
      </c>
      <c r="O61" s="50">
        <f ca="1">'Google News'!G121</f>
        <v>5.8328467153284675</v>
      </c>
      <c r="P61" s="37"/>
      <c r="R61" s="55" t="s">
        <v>235</v>
      </c>
      <c r="S61" s="15" t="s">
        <v>17</v>
      </c>
      <c r="T61" s="119">
        <f ca="1">VLOOKUP("EU cohesion",I46:J82,2,FALSE)</f>
        <v>7.2079722703639515</v>
      </c>
      <c r="U61" s="119">
        <f ca="1">VLOOKUP("EU cohesion",N46:O82,2,FALSE)</f>
        <v>5</v>
      </c>
      <c r="V61" s="50">
        <f t="shared" ca="1" si="4"/>
        <v>6.1039861351819757</v>
      </c>
      <c r="Y61" s="8" t="str">
        <f>'Free Patents'!D118</f>
        <v>Macroeconomic</v>
      </c>
      <c r="Z61" s="15" t="str">
        <f>'Free Patents'!E118</f>
        <v>Large scale accidents</v>
      </c>
      <c r="AA61" s="50">
        <f ca="1">'Free Patents'!I118</f>
        <v>7.2521539345203907</v>
      </c>
      <c r="AE61" s="8" t="str">
        <f>Scopus!B125</f>
        <v>Business environment</v>
      </c>
      <c r="AF61" s="15" t="str">
        <f>Scopus!C125</f>
        <v>Energy subsidies</v>
      </c>
      <c r="AG61" s="50">
        <f ca="1">Scopus!G125</f>
        <v>7.2958963282937361</v>
      </c>
      <c r="AK61" s="55" t="s">
        <v>235</v>
      </c>
      <c r="AL61" s="15" t="s">
        <v>17</v>
      </c>
      <c r="AM61" s="119">
        <f ca="1">VLOOKUP("EU cohesion",Z46:AA82,2,FALSE)</f>
        <v>7.9488799540493975</v>
      </c>
      <c r="AN61" s="119">
        <f ca="1">VLOOKUP("EU cohesion",AF46:AG82,2,FALSE)</f>
        <v>7.8466522678185751</v>
      </c>
      <c r="AO61" s="50">
        <f t="shared" ca="1" si="5"/>
        <v>7.8977661109339863</v>
      </c>
      <c r="AS61" s="55" t="s">
        <v>235</v>
      </c>
      <c r="AT61" s="15" t="s">
        <v>16</v>
      </c>
      <c r="AU61" s="42">
        <f t="shared" ca="1" si="6"/>
        <v>9.5014736255717285</v>
      </c>
      <c r="AV61" s="50">
        <f t="shared" ca="1" si="7"/>
        <v>3.9534883720930232</v>
      </c>
      <c r="AY61" s="55" t="s">
        <v>235</v>
      </c>
      <c r="AZ61" s="15" t="s">
        <v>16</v>
      </c>
      <c r="BA61" s="148">
        <f t="shared" ca="1" si="8"/>
        <v>2.7390736878105453</v>
      </c>
    </row>
    <row r="62" spans="2:53" ht="15.75" thickBot="1" x14ac:dyDescent="0.3">
      <c r="B62" s="55" t="s">
        <v>235</v>
      </c>
      <c r="C62" s="15" t="s">
        <v>17</v>
      </c>
      <c r="D62" s="22">
        <f ca="1">'Promedios del estudio'!D27</f>
        <v>9</v>
      </c>
      <c r="E62" s="22">
        <f ca="1">'Promedios del estudio'!E27</f>
        <v>7</v>
      </c>
      <c r="H62" s="8" t="str">
        <f>'Google Trends'!C228</f>
        <v>Geopolitics &amp; regional</v>
      </c>
      <c r="I62" s="15" t="str">
        <f>'Google Trends'!D228</f>
        <v>US trade and policy influencing global energy markets</v>
      </c>
      <c r="J62" s="50">
        <f ca="1">'Google Trends'!G228</f>
        <v>10.240901213171577</v>
      </c>
      <c r="M62" s="8" t="str">
        <f>'Google News'!C122</f>
        <v>Vision &amp; technology</v>
      </c>
      <c r="N62" s="15" t="str">
        <f>'Google News'!D122</f>
        <v>Sustainable cities</v>
      </c>
      <c r="O62" s="50">
        <f ca="1">'Google News'!G122</f>
        <v>5.7868613138686129</v>
      </c>
      <c r="P62" s="37"/>
      <c r="R62" s="55" t="s">
        <v>235</v>
      </c>
      <c r="S62" s="15" t="s">
        <v>187</v>
      </c>
      <c r="T62" s="119">
        <f ca="1">VLOOKUP("Middle East / North Africa fragility",I46:J82,2,FALSE)</f>
        <v>5</v>
      </c>
      <c r="U62" s="119">
        <f ca="1">VLOOKUP("Middle East / North Africa fragility",N46:O82,2,FALSE)</f>
        <v>5.2340145985401456</v>
      </c>
      <c r="V62" s="50">
        <f t="shared" ca="1" si="4"/>
        <v>5.1170072992700728</v>
      </c>
      <c r="Y62" s="8" t="str">
        <f>'Free Patents'!D119</f>
        <v>Vision &amp; technology</v>
      </c>
      <c r="Z62" s="15" t="str">
        <f>'Free Patents'!E119</f>
        <v>Biofuels</v>
      </c>
      <c r="AA62" s="50">
        <f ca="1">'Free Patents'!I119</f>
        <v>7.2935094773118898</v>
      </c>
      <c r="AE62" s="8" t="str">
        <f>Scopus!B126</f>
        <v>Vision &amp; technology</v>
      </c>
      <c r="AF62" s="15" t="str">
        <f>Scopus!C126</f>
        <v>Energy Efficiency</v>
      </c>
      <c r="AG62" s="50">
        <f ca="1">Scopus!G126</f>
        <v>7.421166306695465</v>
      </c>
      <c r="AK62" s="55" t="s">
        <v>235</v>
      </c>
      <c r="AL62" s="15" t="s">
        <v>187</v>
      </c>
      <c r="AM62" s="119">
        <f ca="1">VLOOKUP("Middle East / North Africa fragility",Z46:AA82,2,FALSE)</f>
        <v>3.2558139534883721</v>
      </c>
      <c r="AN62" s="119">
        <f ca="1">VLOOKUP("Middle East / North Africa fragility",AF46:AG82,2,FALSE)</f>
        <v>3.6923076923076925</v>
      </c>
      <c r="AO62" s="50">
        <f t="shared" ca="1" si="5"/>
        <v>3.4740608228980321</v>
      </c>
      <c r="AS62" s="55" t="s">
        <v>235</v>
      </c>
      <c r="AT62" s="15" t="s">
        <v>17</v>
      </c>
      <c r="AU62" s="42">
        <f t="shared" ca="1" si="6"/>
        <v>6.1039861351819757</v>
      </c>
      <c r="AV62" s="50">
        <f t="shared" ca="1" si="7"/>
        <v>7.8977661109339863</v>
      </c>
      <c r="AY62" s="55" t="s">
        <v>235</v>
      </c>
      <c r="AZ62" s="15" t="s">
        <v>17</v>
      </c>
      <c r="BA62" s="148">
        <f t="shared" ca="1" si="8"/>
        <v>3.0319763018796442</v>
      </c>
    </row>
    <row r="63" spans="2:53" ht="15.75" thickBot="1" x14ac:dyDescent="0.3">
      <c r="B63" s="55" t="s">
        <v>235</v>
      </c>
      <c r="C63" s="15" t="s">
        <v>187</v>
      </c>
      <c r="D63" s="22">
        <f ca="1">'Promedios del estudio'!D28</f>
        <v>11.3</v>
      </c>
      <c r="E63" s="22">
        <f ca="1">'Promedios del estudio'!E28</f>
        <v>10.5</v>
      </c>
      <c r="H63" s="8" t="str">
        <f>'Google Trends'!C229</f>
        <v>Business environment</v>
      </c>
      <c r="I63" s="15" t="str">
        <f>'Google Trends'!D229</f>
        <v>Energy subsidies</v>
      </c>
      <c r="J63" s="50">
        <f ca="1">'Google Trends'!G229</f>
        <v>10.092520997200374</v>
      </c>
      <c r="M63" s="8" t="str">
        <f>'Google News'!C123</f>
        <v>Vision &amp; technology</v>
      </c>
      <c r="N63" s="15" t="str">
        <f>'Google News'!D123</f>
        <v>Electricity storage</v>
      </c>
      <c r="O63" s="50">
        <f ca="1">'Google News'!G123</f>
        <v>5.7102189781021897</v>
      </c>
      <c r="P63" s="37"/>
      <c r="R63" s="55" t="s">
        <v>235</v>
      </c>
      <c r="S63" s="15" t="s">
        <v>18</v>
      </c>
      <c r="T63" s="119">
        <f ca="1">VLOOKUP("US trade and policy influencing global energy markets",I46:J82,2,FALSE)</f>
        <v>10.240901213171577</v>
      </c>
      <c r="U63" s="119">
        <f ca="1">VLOOKUP("US trade and policy influencing global energy markets",N46:O82,2,FALSE)</f>
        <v>5.2983941605839417</v>
      </c>
      <c r="V63" s="50">
        <f t="shared" ca="1" si="4"/>
        <v>7.7696476868777591</v>
      </c>
      <c r="Y63" s="8" t="str">
        <f>'Free Patents'!D120</f>
        <v>Geopolitics &amp; regional</v>
      </c>
      <c r="Z63" s="15" t="str">
        <f>'Free Patents'!E120</f>
        <v>India growth</v>
      </c>
      <c r="AA63" s="50">
        <f ca="1">'Free Patents'!I120</f>
        <v>7.3134692705341759</v>
      </c>
      <c r="AE63" s="8" t="str">
        <f>Scopus!B127</f>
        <v>Macroeconomic</v>
      </c>
      <c r="AF63" s="15" t="str">
        <f>Scopus!C127</f>
        <v>Global Recesion</v>
      </c>
      <c r="AG63" s="50">
        <f ca="1">Scopus!G127</f>
        <v>7.421166306695465</v>
      </c>
      <c r="AK63" s="55" t="s">
        <v>235</v>
      </c>
      <c r="AL63" s="15" t="s">
        <v>18</v>
      </c>
      <c r="AM63" s="119">
        <f ca="1">VLOOKUP("US trade and policy influencing global energy markets",Z46:AA82,2,FALSE)</f>
        <v>7.9339460080413557</v>
      </c>
      <c r="AN63" s="119">
        <f ca="1">VLOOKUP("US trade and policy influencing global energy markets",AF46:AG82,2,FALSE)</f>
        <v>4</v>
      </c>
      <c r="AO63" s="50">
        <f t="shared" ca="1" si="5"/>
        <v>5.9669730040206783</v>
      </c>
      <c r="AS63" s="55" t="s">
        <v>235</v>
      </c>
      <c r="AT63" s="15" t="s">
        <v>187</v>
      </c>
      <c r="AU63" s="42">
        <f t="shared" ca="1" si="6"/>
        <v>5.1170072992700728</v>
      </c>
      <c r="AV63" s="50">
        <f t="shared" ca="1" si="7"/>
        <v>3.4740608228980321</v>
      </c>
      <c r="AY63" s="55" t="s">
        <v>235</v>
      </c>
      <c r="AZ63" s="15" t="s">
        <v>187</v>
      </c>
      <c r="BA63" s="148">
        <f t="shared" ca="1" si="8"/>
        <v>9.3591249621754624</v>
      </c>
    </row>
    <row r="64" spans="2:53" ht="15.75" thickBot="1" x14ac:dyDescent="0.3">
      <c r="B64" s="55" t="s">
        <v>235</v>
      </c>
      <c r="C64" s="15" t="s">
        <v>18</v>
      </c>
      <c r="D64" s="22">
        <f ca="1">'Promedios del estudio'!D29</f>
        <v>10.9</v>
      </c>
      <c r="E64" s="22">
        <f ca="1">'Promedios del estudio'!E29</f>
        <v>5.4</v>
      </c>
      <c r="H64" s="8" t="str">
        <f>'Google Trends'!C230</f>
        <v>Macroeconomic</v>
      </c>
      <c r="I64" s="15" t="str">
        <f>'Google Trends'!D230</f>
        <v>Energy poverty</v>
      </c>
      <c r="J64" s="50">
        <f ca="1">'Google Trends'!G230</f>
        <v>9.9889348086921732</v>
      </c>
      <c r="M64" s="8" t="str">
        <f>'Google News'!C124</f>
        <v>Macroeconomic</v>
      </c>
      <c r="N64" s="15" t="str">
        <f>'Google News'!D124</f>
        <v>Energy prices &amp; volatility</v>
      </c>
      <c r="O64" s="50">
        <f ca="1">'Google News'!G124</f>
        <v>5.5927007299270075</v>
      </c>
      <c r="P64" s="37"/>
      <c r="R64" s="56" t="s">
        <v>234</v>
      </c>
      <c r="S64" s="15" t="s">
        <v>20</v>
      </c>
      <c r="T64" s="119">
        <f ca="1">VLOOKUP("Trade barriers",I46:J82,2,FALSE)</f>
        <v>8.0403946140514595</v>
      </c>
      <c r="U64" s="119">
        <f ca="1">VLOOKUP("Trade barriers",N46:O82,2,FALSE)</f>
        <v>5.8328467153284675</v>
      </c>
      <c r="V64" s="50">
        <f t="shared" ca="1" si="4"/>
        <v>6.9366206646899631</v>
      </c>
      <c r="Y64" s="8" t="str">
        <f>'Free Patents'!D121</f>
        <v>Vision &amp; technology</v>
      </c>
      <c r="Z64" s="15" t="str">
        <f>'Free Patents'!E121</f>
        <v>Hydro power</v>
      </c>
      <c r="AA64" s="50">
        <f ca="1">'Free Patents'!I121</f>
        <v>7.3251005169442847</v>
      </c>
      <c r="AE64" s="8" t="str">
        <f>Scopus!B128</f>
        <v>Macroeconomic</v>
      </c>
      <c r="AF64" s="15" t="str">
        <f>Scopus!C128</f>
        <v>Energy poverty</v>
      </c>
      <c r="AG64" s="50">
        <f ca="1">Scopus!G128</f>
        <v>7.5205183585313176</v>
      </c>
      <c r="AK64" s="56" t="s">
        <v>234</v>
      </c>
      <c r="AL64" s="15" t="s">
        <v>20</v>
      </c>
      <c r="AM64" s="119">
        <f ca="1">VLOOKUP("Trade barriers",Z46:AA82,2,FALSE)</f>
        <v>6.3653072946582423</v>
      </c>
      <c r="AN64" s="119">
        <f ca="1">VLOOKUP("Trade barriers",AF46:AG82,2,FALSE)</f>
        <v>7.2699784017278617</v>
      </c>
      <c r="AO64" s="50">
        <f t="shared" ca="1" si="5"/>
        <v>6.817642848193052</v>
      </c>
      <c r="AS64" s="55" t="s">
        <v>235</v>
      </c>
      <c r="AT64" s="15" t="s">
        <v>18</v>
      </c>
      <c r="AU64" s="42">
        <f t="shared" ca="1" si="6"/>
        <v>7.7696476868777591</v>
      </c>
      <c r="AV64" s="50">
        <f t="shared" ca="1" si="7"/>
        <v>5.9669730040206783</v>
      </c>
      <c r="AY64" s="55" t="s">
        <v>235</v>
      </c>
      <c r="AZ64" s="15" t="s">
        <v>18</v>
      </c>
      <c r="BA64" s="148">
        <f t="shared" ca="1" si="8"/>
        <v>3.1812833874959958</v>
      </c>
    </row>
    <row r="65" spans="2:56" ht="15.75" thickBot="1" x14ac:dyDescent="0.3">
      <c r="B65" s="56" t="s">
        <v>234</v>
      </c>
      <c r="C65" s="15" t="s">
        <v>20</v>
      </c>
      <c r="D65" s="22">
        <f ca="1">'Promedios del estudio'!D30</f>
        <v>9.1</v>
      </c>
      <c r="E65" s="22">
        <f ca="1">'Promedios del estudio'!E30</f>
        <v>6.8</v>
      </c>
      <c r="H65" s="8" t="str">
        <f>'Google Trends'!C231</f>
        <v>Macroeconomic</v>
      </c>
      <c r="I65" s="15" t="str">
        <f>'Google Trends'!D231</f>
        <v>Talent scarcity</v>
      </c>
      <c r="J65" s="50">
        <f ca="1">'Google Trends'!G231</f>
        <v>9.0519930675909883</v>
      </c>
      <c r="M65" s="8" t="str">
        <f>'Google News'!C125</f>
        <v>Vision &amp; technology</v>
      </c>
      <c r="N65" s="15" t="str">
        <f>'Google News'!D125</f>
        <v>Biofuels</v>
      </c>
      <c r="O65" s="50">
        <f ca="1">'Google News'!G125</f>
        <v>5.5262773722627738</v>
      </c>
      <c r="P65" s="37"/>
      <c r="R65" s="56" t="s">
        <v>234</v>
      </c>
      <c r="S65" s="15" t="s">
        <v>21</v>
      </c>
      <c r="T65" s="119">
        <f ca="1">VLOOKUP("Regional interconnection",I46:J82,2,FALSE)</f>
        <v>7.6932409012131711</v>
      </c>
      <c r="U65" s="119">
        <f ca="1">VLOOKUP("Regional interconnection",N46:O82,2,FALSE)</f>
        <v>5.0597810218978099</v>
      </c>
      <c r="V65" s="50">
        <f t="shared" ca="1" si="4"/>
        <v>6.3765109615554909</v>
      </c>
      <c r="Y65" s="8" t="str">
        <f>'Free Patents'!D122</f>
        <v>Vision &amp; technology</v>
      </c>
      <c r="Z65" s="15" t="str">
        <f>'Free Patents'!E122</f>
        <v>Hydrogen economy</v>
      </c>
      <c r="AA65" s="50">
        <f ca="1">'Free Patents'!I122</f>
        <v>7.399195864445721</v>
      </c>
      <c r="AE65" s="8" t="str">
        <f>Scopus!B129</f>
        <v>Vision &amp; technology</v>
      </c>
      <c r="AF65" s="15" t="str">
        <f>Scopus!C129</f>
        <v>Hydrogen economy</v>
      </c>
      <c r="AG65" s="50">
        <f ca="1">Scopus!G129</f>
        <v>7.5766738660907134</v>
      </c>
      <c r="AK65" s="56" t="s">
        <v>234</v>
      </c>
      <c r="AL65" s="15" t="s">
        <v>21</v>
      </c>
      <c r="AM65" s="119">
        <f ca="1">VLOOKUP("Regional interconnection",Z46:AA82,2,FALSE)</f>
        <v>10.695618092027907</v>
      </c>
      <c r="AN65" s="119">
        <f ca="1">VLOOKUP("Regional interconnection",AF46:AG82,2,FALSE)</f>
        <v>7.8552915766738662</v>
      </c>
      <c r="AO65" s="50">
        <f t="shared" ca="1" si="5"/>
        <v>9.2754548343508869</v>
      </c>
      <c r="AS65" s="56" t="s">
        <v>234</v>
      </c>
      <c r="AT65" s="15" t="s">
        <v>20</v>
      </c>
      <c r="AU65" s="42">
        <f t="shared" ca="1" si="6"/>
        <v>6.9366206646899631</v>
      </c>
      <c r="AV65" s="50">
        <f t="shared" ca="1" si="7"/>
        <v>6.817642848193052</v>
      </c>
      <c r="AY65" s="56" t="s">
        <v>234</v>
      </c>
      <c r="AZ65" s="15" t="s">
        <v>20</v>
      </c>
      <c r="BA65" s="148">
        <f t="shared" ca="1" si="8"/>
        <v>2.1634512748242929</v>
      </c>
    </row>
    <row r="66" spans="2:56" ht="15.75" thickBot="1" x14ac:dyDescent="0.3">
      <c r="B66" s="56" t="s">
        <v>234</v>
      </c>
      <c r="C66" s="15" t="s">
        <v>21</v>
      </c>
      <c r="D66" s="22">
        <f ca="1">'Promedios del estudio'!D31</f>
        <v>12.6</v>
      </c>
      <c r="E66" s="22">
        <f ca="1">'Promedios del estudio'!E31</f>
        <v>6.3</v>
      </c>
      <c r="H66" s="8" t="str">
        <f>'Google Trends'!C232</f>
        <v>Macroeconomic</v>
      </c>
      <c r="I66" s="15" t="str">
        <f>'Google Trends'!D232</f>
        <v>Energy prices &amp; volatility</v>
      </c>
      <c r="J66" s="50">
        <f ca="1">'Google Trends'!G232</f>
        <v>8.8662844954006133</v>
      </c>
      <c r="M66" s="8" t="str">
        <f>'Google News'!C126</f>
        <v>Business environment</v>
      </c>
      <c r="N66" s="15" t="str">
        <f>'Google News'!D126</f>
        <v>Energy subsidies</v>
      </c>
      <c r="O66" s="50">
        <f ca="1">'Google News'!G126</f>
        <v>5.4966423357664231</v>
      </c>
      <c r="P66" s="37"/>
      <c r="R66" s="56" t="s">
        <v>234</v>
      </c>
      <c r="S66" s="15" t="s">
        <v>22</v>
      </c>
      <c r="T66" s="119">
        <f ca="1">VLOOKUP("Business cycle",I46:J82,2,FALSE)</f>
        <v>11.189974670043993</v>
      </c>
      <c r="U66" s="119">
        <f ca="1">VLOOKUP("Business cycle",N46:O82,2,FALSE)</f>
        <v>12.013157894736842</v>
      </c>
      <c r="V66" s="50">
        <f t="shared" ca="1" si="4"/>
        <v>11.601566282390419</v>
      </c>
      <c r="Y66" s="8" t="str">
        <f>'Free Patents'!D123</f>
        <v>Macroeconomic</v>
      </c>
      <c r="Z66" s="15" t="str">
        <f>'Free Patents'!E123</f>
        <v>Commodity prices &amp; volatility</v>
      </c>
      <c r="AA66" s="50">
        <f ca="1">'Free Patents'!I123</f>
        <v>7.6240666283744973</v>
      </c>
      <c r="AE66" s="8" t="str">
        <f>Scopus!B130</f>
        <v>Business environment</v>
      </c>
      <c r="AF66" s="15" t="str">
        <f>Scopus!C130</f>
        <v>New market players</v>
      </c>
      <c r="AG66" s="50">
        <f ca="1">Scopus!G130</f>
        <v>7.6393088552915769</v>
      </c>
      <c r="AK66" s="56" t="s">
        <v>234</v>
      </c>
      <c r="AL66" s="15" t="s">
        <v>22</v>
      </c>
      <c r="AM66" s="119">
        <f ca="1">VLOOKUP("Business cycle",Z46:AA82,2,FALSE)</f>
        <v>11.529869519051928</v>
      </c>
      <c r="AN66" s="119">
        <f ca="1">VLOOKUP("Business cycle",AF46:AG82,2,FALSE)</f>
        <v>10.109973454683352</v>
      </c>
      <c r="AO66" s="50">
        <f t="shared" ca="1" si="5"/>
        <v>10.81992148686764</v>
      </c>
      <c r="AS66" s="56" t="s">
        <v>234</v>
      </c>
      <c r="AT66" s="15" t="s">
        <v>21</v>
      </c>
      <c r="AU66" s="42">
        <f t="shared" ca="1" si="6"/>
        <v>6.3765109615554909</v>
      </c>
      <c r="AV66" s="50">
        <f t="shared" ca="1" si="7"/>
        <v>9.2754548343508869</v>
      </c>
      <c r="AY66" s="56" t="s">
        <v>234</v>
      </c>
      <c r="AZ66" s="15" t="s">
        <v>21</v>
      </c>
      <c r="BA66" s="148">
        <f t="shared" ca="1" si="8"/>
        <v>6.8981988433866572</v>
      </c>
    </row>
    <row r="67" spans="2:56" ht="15.75" thickBot="1" x14ac:dyDescent="0.3">
      <c r="B67" s="56" t="s">
        <v>234</v>
      </c>
      <c r="C67" s="15" t="s">
        <v>22</v>
      </c>
      <c r="D67" s="22">
        <f ca="1">'Promedios del estudio'!D32</f>
        <v>9.9</v>
      </c>
      <c r="E67" s="22">
        <f ca="1">'Promedios del estudio'!E32</f>
        <v>8.4</v>
      </c>
      <c r="H67" s="8" t="str">
        <f>'Google Trends'!C233</f>
        <v>Macroeconomic</v>
      </c>
      <c r="I67" s="15" t="str">
        <f>'Google Trends'!D233</f>
        <v xml:space="preserve">Energy affordability </v>
      </c>
      <c r="J67" s="50">
        <f ca="1">'Google Trends'!G233</f>
        <v>8.7850953206239168</v>
      </c>
      <c r="M67" s="8" t="str">
        <f>'Google News'!C127</f>
        <v>Macroeconomic</v>
      </c>
      <c r="N67" s="15" t="str">
        <f>'Google News'!D127</f>
        <v>Currency uncertainty</v>
      </c>
      <c r="O67" s="50">
        <f ca="1">'Google News'!G127</f>
        <v>5.3770802919708025</v>
      </c>
      <c r="P67" s="37"/>
      <c r="R67" s="56" t="s">
        <v>234</v>
      </c>
      <c r="S67" s="15" t="s">
        <v>23</v>
      </c>
      <c r="T67" s="119">
        <f ca="1">VLOOKUP("Innovative market design &amp; policies",I46:J82,2,FALSE)</f>
        <v>17</v>
      </c>
      <c r="U67" s="119">
        <f ca="1">VLOOKUP("Innovative market design &amp; policies",N46:O82,2,FALSE)</f>
        <v>5.9810218978102192</v>
      </c>
      <c r="V67" s="50">
        <f t="shared" ca="1" si="4"/>
        <v>11.49051094890511</v>
      </c>
      <c r="Y67" s="8" t="str">
        <f>'Free Patents'!D124</f>
        <v>Macroeconomic</v>
      </c>
      <c r="Z67" s="15" t="str">
        <f>'Free Patents'!E124</f>
        <v>Capital market constraints</v>
      </c>
      <c r="AA67" s="50">
        <f ca="1">'Free Patents'!I124</f>
        <v>7.6352670878805284</v>
      </c>
      <c r="AE67" s="8" t="str">
        <f>Scopus!B131</f>
        <v>Macroeconomic</v>
      </c>
      <c r="AF67" s="15" t="str">
        <f>Scopus!C131</f>
        <v>Capital market constraints</v>
      </c>
      <c r="AG67" s="50">
        <f ca="1">Scopus!G131</f>
        <v>7.7300215982721383</v>
      </c>
      <c r="AK67" s="56" t="s">
        <v>234</v>
      </c>
      <c r="AL67" s="15" t="s">
        <v>23</v>
      </c>
      <c r="AM67" s="119">
        <f ca="1">VLOOKUP("Innovative market design &amp; policies",Z46:AA82,2,FALSE)</f>
        <v>7.8664560597357838</v>
      </c>
      <c r="AN67" s="119">
        <f ca="1">VLOOKUP("Innovative market design &amp; policies",AF46:AG82,2,FALSE)</f>
        <v>7.9395248380129591</v>
      </c>
      <c r="AO67" s="50">
        <f t="shared" ca="1" si="5"/>
        <v>7.9029904488743714</v>
      </c>
      <c r="AS67" s="56" t="s">
        <v>234</v>
      </c>
      <c r="AT67" s="15" t="s">
        <v>22</v>
      </c>
      <c r="AU67" s="42">
        <f t="shared" ca="1" si="6"/>
        <v>11.601566282390419</v>
      </c>
      <c r="AV67" s="50">
        <f t="shared" ca="1" si="7"/>
        <v>10.81992148686764</v>
      </c>
      <c r="AY67" s="56" t="s">
        <v>234</v>
      </c>
      <c r="AZ67" s="15" t="s">
        <v>22</v>
      </c>
      <c r="BA67" s="148">
        <f t="shared" ca="1" si="8"/>
        <v>2.9582677052578656</v>
      </c>
    </row>
    <row r="68" spans="2:56" ht="15.75" thickBot="1" x14ac:dyDescent="0.3">
      <c r="B68" s="56" t="s">
        <v>234</v>
      </c>
      <c r="C68" s="15" t="s">
        <v>23</v>
      </c>
      <c r="D68" s="22">
        <f ca="1">'Promedios del estudio'!D33</f>
        <v>10.8</v>
      </c>
      <c r="E68" s="22">
        <f ca="1">'Promedios del estudio'!E33</f>
        <v>7.7</v>
      </c>
      <c r="H68" s="8" t="str">
        <f>'Google Trends'!C234</f>
        <v>Macroeconomic</v>
      </c>
      <c r="I68" s="15" t="str">
        <f>'Google Trends'!D234</f>
        <v>Commodity prices &amp; volatility</v>
      </c>
      <c r="J68" s="50">
        <f ca="1">'Google Trends'!G234</f>
        <v>8.3819490734568731</v>
      </c>
      <c r="M68" s="8" t="str">
        <f>'Google News'!C128</f>
        <v>Geopolitics &amp; regional</v>
      </c>
      <c r="N68" s="15" t="str">
        <f>'Google News'!D128</f>
        <v>US trade and policy influencing global energy markets</v>
      </c>
      <c r="O68" s="50">
        <f ca="1">'Google News'!G128</f>
        <v>5.2983941605839417</v>
      </c>
      <c r="P68" s="37"/>
      <c r="R68" s="56" t="s">
        <v>234</v>
      </c>
      <c r="S68" s="15" t="s">
        <v>24</v>
      </c>
      <c r="T68" s="119">
        <f ca="1">VLOOKUP("Energy subsidies",I46:J82,2,FALSE)</f>
        <v>10.092520997200374</v>
      </c>
      <c r="U68" s="119">
        <f ca="1">VLOOKUP("Energy subsidies",N46:O82,2,FALSE)</f>
        <v>5.4966423357664231</v>
      </c>
      <c r="V68" s="50">
        <f t="shared" ca="1" si="4"/>
        <v>7.7945816664833991</v>
      </c>
      <c r="Y68" s="8" t="str">
        <f>'Free Patents'!D125</f>
        <v>Macroeconomic</v>
      </c>
      <c r="Z68" s="15" t="str">
        <f>'Free Patents'!E125</f>
        <v>Terrorism</v>
      </c>
      <c r="AA68" s="50">
        <f ca="1">'Free Patents'!I125</f>
        <v>7.711085582998277</v>
      </c>
      <c r="AE68" s="8" t="str">
        <f>Scopus!B132</f>
        <v>Macroeconomic</v>
      </c>
      <c r="AF68" s="15" t="str">
        <f>Scopus!C132</f>
        <v>Energy prices &amp; volatility</v>
      </c>
      <c r="AG68" s="50">
        <f ca="1">Scopus!G132</f>
        <v>7.7796976241900646</v>
      </c>
      <c r="AK68" s="56" t="s">
        <v>234</v>
      </c>
      <c r="AL68" s="15" t="s">
        <v>24</v>
      </c>
      <c r="AM68" s="119">
        <f ca="1">VLOOKUP("Energy subsidies",Z46:AA82,2,FALSE)</f>
        <v>7.9417001723147616</v>
      </c>
      <c r="AN68" s="119">
        <f ca="1">VLOOKUP("Energy subsidies",AF46:AG82,2,FALSE)</f>
        <v>7.2958963282937361</v>
      </c>
      <c r="AO68" s="50">
        <f t="shared" ca="1" si="5"/>
        <v>7.6187982503042484</v>
      </c>
      <c r="AS68" s="56" t="s">
        <v>234</v>
      </c>
      <c r="AT68" s="15" t="s">
        <v>23</v>
      </c>
      <c r="AU68" s="42">
        <f t="shared" ca="1" si="6"/>
        <v>11.49051094890511</v>
      </c>
      <c r="AV68" s="50">
        <f t="shared" ca="1" si="7"/>
        <v>7.9029904488743714</v>
      </c>
      <c r="AY68" s="56" t="s">
        <v>234</v>
      </c>
      <c r="AZ68" s="15" t="s">
        <v>23</v>
      </c>
      <c r="BA68" s="148">
        <f t="shared" ca="1" si="8"/>
        <v>0.71972945812440703</v>
      </c>
    </row>
    <row r="69" spans="2:56" ht="15.75" thickBot="1" x14ac:dyDescent="0.3">
      <c r="B69" s="56" t="s">
        <v>234</v>
      </c>
      <c r="C69" s="15" t="s">
        <v>24</v>
      </c>
      <c r="D69" s="22">
        <f ca="1">'Promedios del estudio'!D34</f>
        <v>11.6</v>
      </c>
      <c r="E69" s="22">
        <f ca="1">'Promedios del estudio'!E34</f>
        <v>8</v>
      </c>
      <c r="H69" s="8" t="str">
        <f>'Google Trends'!C235</f>
        <v>Vision &amp; technology</v>
      </c>
      <c r="I69" s="15" t="str">
        <f>'Google Trends'!D235</f>
        <v>Carbon capture, utilisation &amp; storage (CCUS)</v>
      </c>
      <c r="J69" s="50">
        <f ca="1">'Google Trends'!G235</f>
        <v>8.2615651246500477</v>
      </c>
      <c r="M69" s="8" t="str">
        <f>'Google News'!C129</f>
        <v>Vision &amp; technology</v>
      </c>
      <c r="N69" s="15" t="str">
        <f>'Google News'!D129</f>
        <v>Hydro power</v>
      </c>
      <c r="O69" s="50">
        <f ca="1">'Google News'!G129</f>
        <v>5.2922627737226273</v>
      </c>
      <c r="P69" s="37"/>
      <c r="R69" s="56" t="s">
        <v>234</v>
      </c>
      <c r="S69" s="15" t="s">
        <v>25</v>
      </c>
      <c r="T69" s="119">
        <f ca="1">VLOOKUP("New market players",I46:J82,2,FALSE)</f>
        <v>11.623916811091853</v>
      </c>
      <c r="U69" s="119">
        <f ca="1">VLOOKUP("New market players",N46:O82,2,FALSE)</f>
        <v>12.12781954887218</v>
      </c>
      <c r="V69" s="50">
        <f t="shared" ca="1" si="4"/>
        <v>11.875868179982017</v>
      </c>
      <c r="Y69" s="8" t="str">
        <f>'Free Patents'!D126</f>
        <v>Geopolitics &amp; regional</v>
      </c>
      <c r="Z69" s="15" t="str">
        <f>'Free Patents'!E126</f>
        <v>Brazil growth</v>
      </c>
      <c r="AA69" s="50">
        <f ca="1">'Free Patents'!I126</f>
        <v>7.7665134979896617</v>
      </c>
      <c r="AE69" s="8" t="str">
        <f>Scopus!B133</f>
        <v>Macroeconomic</v>
      </c>
      <c r="AF69" s="15" t="str">
        <f>Scopus!C133</f>
        <v>Global climate framework uncertainty</v>
      </c>
      <c r="AG69" s="50">
        <f ca="1">Scopus!G133</f>
        <v>7.8164146868250537</v>
      </c>
      <c r="AK69" s="56" t="s">
        <v>234</v>
      </c>
      <c r="AL69" s="15" t="s">
        <v>25</v>
      </c>
      <c r="AM69" s="119">
        <f ca="1">VLOOKUP("New market players",$Z$46:$AA$82,2,FALSE)</f>
        <v>5.7963813900057435</v>
      </c>
      <c r="AN69" s="119">
        <f ca="1">VLOOKUP("New market players",AF46:AG82,2,FALSE)</f>
        <v>7.6393088552915769</v>
      </c>
      <c r="AO69" s="50">
        <f t="shared" ca="1" si="5"/>
        <v>6.7178451226486597</v>
      </c>
      <c r="AS69" s="56" t="s">
        <v>234</v>
      </c>
      <c r="AT69" s="15" t="s">
        <v>24</v>
      </c>
      <c r="AU69" s="42">
        <f t="shared" ca="1" si="6"/>
        <v>7.7945816664833991</v>
      </c>
      <c r="AV69" s="50">
        <f t="shared" ca="1" si="7"/>
        <v>7.6187982503042484</v>
      </c>
      <c r="AY69" s="56" t="s">
        <v>234</v>
      </c>
      <c r="AZ69" s="15" t="s">
        <v>24</v>
      </c>
      <c r="BA69" s="148">
        <f t="shared" ca="1" si="8"/>
        <v>3.8244638143189906</v>
      </c>
    </row>
    <row r="70" spans="2:56" ht="15.75" thickBot="1" x14ac:dyDescent="0.3">
      <c r="B70" s="56" t="s">
        <v>234</v>
      </c>
      <c r="C70" s="15" t="s">
        <v>25</v>
      </c>
      <c r="D70" s="22">
        <f ca="1">'Promedios del estudio'!D35</f>
        <v>5.7</v>
      </c>
      <c r="E70" s="22">
        <f ca="1">'Promedios del estudio'!E35</f>
        <v>4.4000000000000004</v>
      </c>
      <c r="H70" s="8" t="str">
        <f>'Google Trends'!C236</f>
        <v>Business environment</v>
      </c>
      <c r="I70" s="15" t="str">
        <f>'Google Trends'!D236</f>
        <v>Trade barriers</v>
      </c>
      <c r="J70" s="50">
        <f ca="1">'Google Trends'!G236</f>
        <v>8.0403946140514595</v>
      </c>
      <c r="M70" s="8" t="str">
        <f>'Google News'!C130</f>
        <v>Macroeconomic</v>
      </c>
      <c r="N70" s="15" t="str">
        <f>'Google News'!D130</f>
        <v>Large scale accidents</v>
      </c>
      <c r="O70" s="50">
        <f ca="1">'Google News'!G130</f>
        <v>5.2825547445255472</v>
      </c>
      <c r="P70" s="37"/>
      <c r="R70" s="57" t="s">
        <v>236</v>
      </c>
      <c r="S70" s="15" t="s">
        <v>26</v>
      </c>
      <c r="T70" s="119">
        <f ca="1">VLOOKUP("Sustainable cities",I46:J82,2,FALSE)</f>
        <v>10.366884415411278</v>
      </c>
      <c r="U70" s="119">
        <f ca="1">VLOOKUP("Sustainable cities",N46:O82,2,FALSE)</f>
        <v>5.7868613138686129</v>
      </c>
      <c r="V70" s="50">
        <f t="shared" ca="1" si="4"/>
        <v>8.0768728646399452</v>
      </c>
      <c r="Y70" s="8" t="str">
        <f>'Free Patents'!D127</f>
        <v>Business environment</v>
      </c>
      <c r="Z70" s="15" t="str">
        <f>'Free Patents'!E127</f>
        <v>Innovative market design &amp; policies</v>
      </c>
      <c r="AA70" s="50">
        <f ca="1">'Free Patents'!I127</f>
        <v>7.8664560597357838</v>
      </c>
      <c r="AE70" s="8" t="str">
        <f>Scopus!B134</f>
        <v>Macroeconomic</v>
      </c>
      <c r="AF70" s="15" t="str">
        <f>Scopus!C134</f>
        <v>Commodity prices &amp; volatility</v>
      </c>
      <c r="AG70" s="50">
        <f ca="1">Scopus!G134</f>
        <v>7.8250539956803458</v>
      </c>
      <c r="AK70" s="57" t="s">
        <v>236</v>
      </c>
      <c r="AL70" s="15" t="s">
        <v>26</v>
      </c>
      <c r="AM70" s="119">
        <f ca="1">VLOOKUP("Sustainable cities",$Z$46:$AA$82,2,FALSE)</f>
        <v>6.4606547960941985</v>
      </c>
      <c r="AN70" s="119">
        <f ca="1">VLOOKUP("Sustainable cities",AF46:AG82,2,FALSE)</f>
        <v>4.9330453563714904</v>
      </c>
      <c r="AO70" s="50">
        <f t="shared" ca="1" si="5"/>
        <v>5.6968500762328445</v>
      </c>
      <c r="AS70" s="56" t="s">
        <v>234</v>
      </c>
      <c r="AT70" s="15" t="s">
        <v>25</v>
      </c>
      <c r="AU70" s="42">
        <f t="shared" ca="1" si="6"/>
        <v>11.875868179982017</v>
      </c>
      <c r="AV70" s="50">
        <f t="shared" ca="1" si="7"/>
        <v>6.7178451226486597</v>
      </c>
      <c r="AY70" s="56" t="s">
        <v>234</v>
      </c>
      <c r="AZ70" s="15" t="s">
        <v>25</v>
      </c>
      <c r="BA70" s="148">
        <f t="shared" ca="1" si="8"/>
        <v>6.596495568792613</v>
      </c>
    </row>
    <row r="71" spans="2:56" ht="15.75" thickBot="1" x14ac:dyDescent="0.3">
      <c r="B71" s="57" t="s">
        <v>236</v>
      </c>
      <c r="C71" s="15" t="s">
        <v>26</v>
      </c>
      <c r="D71" s="22">
        <f ca="1">'Promedios del estudio'!D36</f>
        <v>7.8</v>
      </c>
      <c r="E71" s="22">
        <f ca="1">'Promedios del estudio'!E36</f>
        <v>5.4</v>
      </c>
      <c r="H71" s="8" t="str">
        <f>'Google Trends'!C237</f>
        <v>Vision &amp; technology</v>
      </c>
      <c r="I71" s="15" t="str">
        <f>'Google Trends'!D237</f>
        <v>Biofuels</v>
      </c>
      <c r="J71" s="50">
        <f ca="1">'Google Trends'!G237</f>
        <v>7.8192241034528731</v>
      </c>
      <c r="M71" s="8" t="str">
        <f>'Google News'!C131</f>
        <v>Macroeconomic</v>
      </c>
      <c r="N71" s="15" t="str">
        <f>'Google News'!D131</f>
        <v xml:space="preserve">Energy affordability </v>
      </c>
      <c r="O71" s="50">
        <f ca="1">'Google News'!G131</f>
        <v>5.2723357664233577</v>
      </c>
      <c r="P71" s="37"/>
      <c r="R71" s="57" t="s">
        <v>236</v>
      </c>
      <c r="S71" s="15" t="s">
        <v>200</v>
      </c>
      <c r="T71" s="119">
        <f ca="1">VLOOKUP("Carbon capture, utilisation &amp; storage (CCUS)",$I$46:$J$82,2,FALSE)</f>
        <v>8.2615651246500477</v>
      </c>
      <c r="U71" s="119">
        <f ca="1">VLOOKUP("Carbon capture, utilisation &amp; storage (CCUS)",N46:O82,2,FALSE)</f>
        <v>5.1635036496350368</v>
      </c>
      <c r="V71" s="50">
        <f t="shared" ca="1" si="4"/>
        <v>6.7125343871425418</v>
      </c>
      <c r="Y71" s="8" t="str">
        <f>'Free Patents'!D128</f>
        <v>Macroeconomic</v>
      </c>
      <c r="Z71" s="15" t="str">
        <f>'Free Patents'!E128</f>
        <v>Currency uncertainty</v>
      </c>
      <c r="AA71" s="50">
        <f ca="1">'Free Patents'!I128</f>
        <v>7.9052268811028146</v>
      </c>
      <c r="AE71" s="8" t="str">
        <f>Scopus!B135</f>
        <v>Geopolitics &amp; regional</v>
      </c>
      <c r="AF71" s="15" t="str">
        <f>Scopus!C135</f>
        <v>EU cohesion</v>
      </c>
      <c r="AG71" s="50">
        <f ca="1">Scopus!G135</f>
        <v>7.8466522678185751</v>
      </c>
      <c r="AK71" s="57" t="s">
        <v>236</v>
      </c>
      <c r="AL71" s="15" t="s">
        <v>200</v>
      </c>
      <c r="AM71" s="119">
        <f ca="1">VLOOKUP("Carbon capture, utilisation &amp; storage (CCUS)",$Z$46:$AA$82,2,FALSE)</f>
        <v>5.3532452613440551</v>
      </c>
      <c r="AN71" s="119">
        <f ca="1">VLOOKUP("Carbon capture, utilisation &amp; storage (CCUS)",AF46:AG82,2,FALSE)</f>
        <v>0</v>
      </c>
      <c r="AO71" s="50">
        <f t="shared" ca="1" si="5"/>
        <v>2.6766226306720275</v>
      </c>
      <c r="AS71" s="57" t="s">
        <v>236</v>
      </c>
      <c r="AT71" s="15" t="s">
        <v>26</v>
      </c>
      <c r="AU71" s="42">
        <f t="shared" ca="1" si="6"/>
        <v>8.0768728646399452</v>
      </c>
      <c r="AV71" s="50">
        <f t="shared" ca="1" si="7"/>
        <v>5.6968500762328445</v>
      </c>
      <c r="AY71" s="57" t="s">
        <v>236</v>
      </c>
      <c r="AZ71" s="15" t="s">
        <v>26</v>
      </c>
      <c r="BA71" s="148">
        <f t="shared" ca="1" si="8"/>
        <v>0.40592924375237477</v>
      </c>
    </row>
    <row r="72" spans="2:56" ht="15.75" thickBot="1" x14ac:dyDescent="0.3">
      <c r="B72" s="57" t="s">
        <v>236</v>
      </c>
      <c r="C72" s="15" t="s">
        <v>200</v>
      </c>
      <c r="D72" s="22">
        <f ca="1">'Promedios del estudio'!D37</f>
        <v>4.9000000000000004</v>
      </c>
      <c r="E72" s="22">
        <f ca="1">'Promedios del estudio'!E37</f>
        <v>8.6999999999999993</v>
      </c>
      <c r="H72" s="8" t="str">
        <f>'Google Trends'!C238</f>
        <v>Business environment</v>
      </c>
      <c r="I72" s="15" t="str">
        <f>'Google Trends'!D238</f>
        <v>Regional interconnection</v>
      </c>
      <c r="J72" s="50">
        <f ca="1">'Google Trends'!G238</f>
        <v>7.6932409012131711</v>
      </c>
      <c r="M72" s="8" t="str">
        <f>'Google News'!C132</f>
        <v>Vision &amp; technology</v>
      </c>
      <c r="N72" s="15" t="str">
        <f>'Google News'!D132</f>
        <v>Hydrogen economy</v>
      </c>
      <c r="O72" s="50">
        <f ca="1">'Google News'!G132</f>
        <v>5.2360583941605841</v>
      </c>
      <c r="P72" s="37"/>
      <c r="R72" s="57" t="s">
        <v>236</v>
      </c>
      <c r="S72" s="15" t="s">
        <v>27</v>
      </c>
      <c r="T72" s="119">
        <f ca="1">VLOOKUP("Renewable energy",$I$46:$J$82,2,FALSE)</f>
        <v>15.767123287671232</v>
      </c>
      <c r="U72" s="119">
        <f ca="1">VLOOKUP("Renewable energy",N46:O82,2,FALSE)</f>
        <v>7.7233576642335766</v>
      </c>
      <c r="V72" s="50">
        <f t="shared" ca="1" si="4"/>
        <v>11.745240475952404</v>
      </c>
      <c r="Y72" s="8" t="str">
        <f>'Free Patents'!D129</f>
        <v>Geopolitics &amp; regional</v>
      </c>
      <c r="Z72" s="15" t="str">
        <f>'Free Patents'!E129</f>
        <v>US trade and policy influencing global energy markets</v>
      </c>
      <c r="AA72" s="50">
        <f ca="1">'Free Patents'!I129</f>
        <v>7.9339460080413557</v>
      </c>
      <c r="AE72" s="8" t="str">
        <f>Scopus!B136</f>
        <v>Business environment</v>
      </c>
      <c r="AF72" s="15" t="str">
        <f>Scopus!C136</f>
        <v>Regional interconnection</v>
      </c>
      <c r="AG72" s="50">
        <f ca="1">Scopus!G136</f>
        <v>7.8552915766738662</v>
      </c>
      <c r="AK72" s="57" t="s">
        <v>236</v>
      </c>
      <c r="AL72" s="15" t="s">
        <v>27</v>
      </c>
      <c r="AM72" s="119">
        <f ca="1">VLOOKUP("Renewable energy",$Z$46:$AA$82,2,FALSE)</f>
        <v>5.4569213095921878</v>
      </c>
      <c r="AN72" s="119">
        <f ca="1">VLOOKUP("Renewable energy",AF46:AG82,2,FALSE)</f>
        <v>8</v>
      </c>
      <c r="AO72" s="50">
        <f t="shared" ca="1" si="5"/>
        <v>6.7284606547960939</v>
      </c>
      <c r="AS72" s="57" t="s">
        <v>236</v>
      </c>
      <c r="AT72" s="15" t="s">
        <v>200</v>
      </c>
      <c r="AU72" s="42">
        <f t="shared" ca="1" si="6"/>
        <v>6.7125343871425418</v>
      </c>
      <c r="AV72" s="50">
        <f t="shared" ca="1" si="7"/>
        <v>2.6766226306720275</v>
      </c>
      <c r="AY72" s="57" t="s">
        <v>236</v>
      </c>
      <c r="AZ72" s="15" t="s">
        <v>200</v>
      </c>
      <c r="BA72" s="148">
        <f t="shared" ca="1" si="8"/>
        <v>6.2901793168324334</v>
      </c>
    </row>
    <row r="73" spans="2:56" ht="15.75" thickBot="1" x14ac:dyDescent="0.3">
      <c r="B73" s="57" t="s">
        <v>236</v>
      </c>
      <c r="C73" s="15" t="s">
        <v>27</v>
      </c>
      <c r="D73" s="22">
        <f ca="1">'Promedios del estudio'!D38</f>
        <v>13.6</v>
      </c>
      <c r="E73" s="22">
        <f ca="1">'Promedios del estudio'!E38</f>
        <v>8.3000000000000007</v>
      </c>
      <c r="H73" s="8" t="str">
        <f>'Google Trends'!C239</f>
        <v>Vision &amp; technology</v>
      </c>
      <c r="I73" s="15" t="str">
        <f>'Google Trends'!D239</f>
        <v>Nuclear energy</v>
      </c>
      <c r="J73" s="50">
        <f ca="1">'Google Trends'!G239</f>
        <v>7.6624450073323551</v>
      </c>
      <c r="M73" s="8" t="str">
        <f>'Google News'!C133</f>
        <v>Geopolitics &amp; regional</v>
      </c>
      <c r="N73" s="15" t="str">
        <f>'Google News'!D133</f>
        <v>Middle East / North Africa fragility</v>
      </c>
      <c r="O73" s="50">
        <f ca="1">'Google News'!G133</f>
        <v>5.2340145985401456</v>
      </c>
      <c r="P73" s="37"/>
      <c r="R73" s="57" t="s">
        <v>236</v>
      </c>
      <c r="S73" s="15" t="s">
        <v>28</v>
      </c>
      <c r="T73" s="119">
        <f ca="1">VLOOKUP("Biofuels",$I$46:$J$82,2,FALSE)</f>
        <v>7.8192241034528731</v>
      </c>
      <c r="U73" s="119">
        <f ca="1">VLOOKUP("Biofuels",N46:O82,2,FALSE)</f>
        <v>5.5262773722627738</v>
      </c>
      <c r="V73" s="50">
        <f t="shared" ca="1" si="4"/>
        <v>6.6727507378578235</v>
      </c>
      <c r="Y73" s="8" t="str">
        <f>'Free Patents'!D130</f>
        <v>Business environment</v>
      </c>
      <c r="Z73" s="15" t="str">
        <f>'Free Patents'!E130</f>
        <v>Energy subsidies</v>
      </c>
      <c r="AA73" s="50">
        <f ca="1">'Free Patents'!I130</f>
        <v>7.9417001723147616</v>
      </c>
      <c r="AE73" s="8" t="str">
        <f>Scopus!B137</f>
        <v>Macroeconomic</v>
      </c>
      <c r="AF73" s="15" t="str">
        <f>Scopus!C137</f>
        <v xml:space="preserve">Energy affordability </v>
      </c>
      <c r="AG73" s="50">
        <f ca="1">Scopus!G137</f>
        <v>7.907127429805616</v>
      </c>
      <c r="AK73" s="57" t="s">
        <v>236</v>
      </c>
      <c r="AL73" s="15" t="s">
        <v>28</v>
      </c>
      <c r="AM73" s="119">
        <f ca="1">VLOOKUP("Biofuels",$Z$46:$AA$82,2,FALSE)</f>
        <v>7.2935094773118898</v>
      </c>
      <c r="AN73" s="119">
        <f ca="1">VLOOKUP("Biofuels",AF46:AG82,2,FALSE)</f>
        <v>9.5376058652509172</v>
      </c>
      <c r="AO73" s="50">
        <f t="shared" ca="1" si="5"/>
        <v>8.4155576712814035</v>
      </c>
      <c r="AS73" s="57" t="s">
        <v>236</v>
      </c>
      <c r="AT73" s="15" t="s">
        <v>27</v>
      </c>
      <c r="AU73" s="42">
        <f t="shared" ca="1" si="6"/>
        <v>11.745240475952404</v>
      </c>
      <c r="AV73" s="50">
        <f t="shared" ca="1" si="7"/>
        <v>6.7284606547960939</v>
      </c>
      <c r="AY73" s="57" t="s">
        <v>236</v>
      </c>
      <c r="AZ73" s="15" t="s">
        <v>27</v>
      </c>
      <c r="BA73" s="148">
        <f t="shared" ca="1" si="8"/>
        <v>2.4310221729900348</v>
      </c>
    </row>
    <row r="74" spans="2:56" ht="15.75" thickBot="1" x14ac:dyDescent="0.3">
      <c r="B74" s="57" t="s">
        <v>236</v>
      </c>
      <c r="C74" s="15" t="s">
        <v>28</v>
      </c>
      <c r="D74" s="22">
        <f ca="1">'Promedios del estudio'!D39</f>
        <v>4.5</v>
      </c>
      <c r="E74" s="22">
        <f ca="1">'Promedios del estudio'!E39</f>
        <v>6</v>
      </c>
      <c r="H74" s="8" t="str">
        <f>'Google Trends'!C240</f>
        <v>Geopolitics &amp; regional</v>
      </c>
      <c r="I74" s="15" t="str">
        <f>'Google Trends'!D240</f>
        <v>EU cohesion</v>
      </c>
      <c r="J74" s="50">
        <f ca="1">'Google Trends'!G240</f>
        <v>7.2079722703639515</v>
      </c>
      <c r="M74" s="8" t="str">
        <f>'Google News'!C134</f>
        <v>Vision &amp; technology</v>
      </c>
      <c r="N74" s="15" t="str">
        <f>'Google News'!D134</f>
        <v>Carbon capture, utilisation &amp; storage (CCUS)</v>
      </c>
      <c r="O74" s="50">
        <f ca="1">'Google News'!G134</f>
        <v>5.1635036496350368</v>
      </c>
      <c r="P74" s="37"/>
      <c r="R74" s="57" t="s">
        <v>236</v>
      </c>
      <c r="S74" s="15" t="s">
        <v>29</v>
      </c>
      <c r="T74" s="119">
        <f ca="1">VLOOKUP("Smart grids",$I$46:$J$82,2,FALSE)</f>
        <v>11.408345553926143</v>
      </c>
      <c r="U74" s="119">
        <f ca="1">VLOOKUP("Smart grids",N46:O82,2,FALSE)</f>
        <v>5.1124087591240874</v>
      </c>
      <c r="V74" s="50">
        <f t="shared" ca="1" si="4"/>
        <v>8.2603771565251147</v>
      </c>
      <c r="Y74" s="8" t="str">
        <f>'Free Patents'!D131</f>
        <v>Geopolitics &amp; regional</v>
      </c>
      <c r="Z74" s="15" t="str">
        <f>'Free Patents'!E131</f>
        <v>EU cohesion</v>
      </c>
      <c r="AA74" s="50">
        <f ca="1">'Free Patents'!I131</f>
        <v>7.9488799540493975</v>
      </c>
      <c r="AE74" s="8" t="str">
        <f>Scopus!B138</f>
        <v>Macroeconomic</v>
      </c>
      <c r="AF74" s="15" t="str">
        <f>Scopus!C138</f>
        <v>Currency uncertainty</v>
      </c>
      <c r="AG74" s="50">
        <f ca="1">Scopus!G138</f>
        <v>7.9200863930885532</v>
      </c>
      <c r="AK74" s="57" t="s">
        <v>236</v>
      </c>
      <c r="AL74" s="15" t="s">
        <v>29</v>
      </c>
      <c r="AM74" s="119">
        <f ca="1">VLOOKUP("Smart grids",$Z$46:$AA$82,2,FALSE)</f>
        <v>5.7306145893164846</v>
      </c>
      <c r="AN74" s="119">
        <f ca="1">VLOOKUP("Smart grids",AF46:AG82,2,FALSE)</f>
        <v>10.119074706105422</v>
      </c>
      <c r="AO74" s="50">
        <f t="shared" ca="1" si="5"/>
        <v>7.9248446477109535</v>
      </c>
      <c r="AS74" s="57" t="s">
        <v>236</v>
      </c>
      <c r="AT74" s="15" t="s">
        <v>28</v>
      </c>
      <c r="AU74" s="42">
        <f t="shared" ca="1" si="6"/>
        <v>6.6727507378578235</v>
      </c>
      <c r="AV74" s="50">
        <f t="shared" ca="1" si="7"/>
        <v>8.4155576712814035</v>
      </c>
      <c r="AY74" s="57" t="s">
        <v>236</v>
      </c>
      <c r="AZ74" s="15" t="s">
        <v>28</v>
      </c>
      <c r="BA74" s="148">
        <f t="shared" ca="1" si="8"/>
        <v>3.2489636243190159</v>
      </c>
    </row>
    <row r="75" spans="2:56" ht="15.75" thickBot="1" x14ac:dyDescent="0.3">
      <c r="B75" s="57" t="s">
        <v>236</v>
      </c>
      <c r="C75" s="15" t="s">
        <v>29</v>
      </c>
      <c r="D75" s="22">
        <f ca="1">'Promedios del estudio'!D40</f>
        <v>10.6</v>
      </c>
      <c r="E75" s="22">
        <f ca="1">'Promedios del estudio'!E40</f>
        <v>6.4</v>
      </c>
      <c r="H75" s="8" t="str">
        <f>'Google Trends'!C241</f>
        <v>Vision &amp; technology</v>
      </c>
      <c r="I75" s="15" t="str">
        <f>'Google Trends'!D241</f>
        <v>Hydro power</v>
      </c>
      <c r="J75" s="50">
        <f ca="1">'Google Trends'!G241</f>
        <v>7.1333155579256093</v>
      </c>
      <c r="M75" s="8" t="str">
        <f>'Google News'!C135</f>
        <v>Macroeconomic</v>
      </c>
      <c r="N75" s="15" t="str">
        <f>'Google News'!D135</f>
        <v>Capital market constraints</v>
      </c>
      <c r="O75" s="50">
        <f ca="1">'Google News'!G135</f>
        <v>5.1461313868613141</v>
      </c>
      <c r="P75" s="37"/>
      <c r="R75" s="57" t="s">
        <v>236</v>
      </c>
      <c r="S75" s="15" t="s">
        <v>30</v>
      </c>
      <c r="T75" s="119">
        <f ca="1">VLOOKUP("Future mobility",$I$46:$J$82,2,FALSE)</f>
        <v>11.31035861885082</v>
      </c>
      <c r="U75" s="119">
        <f ca="1">VLOOKUP("Future mobility",N46:O82,2,FALSE)</f>
        <v>6.6554744525547447</v>
      </c>
      <c r="V75" s="50">
        <f t="shared" ca="1" si="4"/>
        <v>8.9829165357027829</v>
      </c>
      <c r="Y75" s="8" t="str">
        <f>'Free Patents'!D132</f>
        <v>Vision &amp; technology</v>
      </c>
      <c r="Z75" s="15" t="str">
        <f>'Free Patents'!E132</f>
        <v>Unconventional fossil fuels</v>
      </c>
      <c r="AA75" s="50">
        <f ca="1">'Free Patents'!I132</f>
        <v>7.9655370476737506</v>
      </c>
      <c r="AE75" s="8" t="str">
        <f>Scopus!B139</f>
        <v>Business environment</v>
      </c>
      <c r="AF75" s="15" t="str">
        <f>Scopus!C139</f>
        <v>Innovative market design &amp; policies</v>
      </c>
      <c r="AG75" s="50">
        <f ca="1">Scopus!G139</f>
        <v>7.9395248380129591</v>
      </c>
      <c r="AK75" s="57" t="s">
        <v>236</v>
      </c>
      <c r="AL75" s="15" t="s">
        <v>30</v>
      </c>
      <c r="AM75" s="119">
        <f ca="1">VLOOKUP("Future mobility",$Z$46:$AA$82,2,FALSE)</f>
        <v>10.941329893748174</v>
      </c>
      <c r="AN75" s="119">
        <f ca="1">VLOOKUP("Future mobility",AF46:AG82,2,FALSE)</f>
        <v>5.388768898488121</v>
      </c>
      <c r="AO75" s="50">
        <f t="shared" ca="1" si="5"/>
        <v>8.1650493961181478</v>
      </c>
      <c r="AS75" s="57" t="s">
        <v>236</v>
      </c>
      <c r="AT75" s="15" t="s">
        <v>29</v>
      </c>
      <c r="AU75" s="42">
        <f t="shared" ca="1" si="6"/>
        <v>8.2603771565251147</v>
      </c>
      <c r="AV75" s="50">
        <f t="shared" ca="1" si="7"/>
        <v>7.9248446477109535</v>
      </c>
      <c r="AY75" s="57" t="s">
        <v>236</v>
      </c>
      <c r="AZ75" s="15" t="s">
        <v>29</v>
      </c>
      <c r="BA75" s="148">
        <f t="shared" ca="1" si="8"/>
        <v>2.7926665123788497</v>
      </c>
      <c r="BB75" s="8"/>
      <c r="BC75" s="8"/>
      <c r="BD75" s="8"/>
    </row>
    <row r="76" spans="2:56" ht="15.75" thickBot="1" x14ac:dyDescent="0.3">
      <c r="B76" s="57" t="s">
        <v>236</v>
      </c>
      <c r="C76" s="15" t="s">
        <v>30</v>
      </c>
      <c r="D76" s="22">
        <f ca="1">'Promedios del estudio'!D41</f>
        <v>8.4</v>
      </c>
      <c r="E76" s="22">
        <f ca="1">'Promedios del estudio'!E41</f>
        <v>7.2</v>
      </c>
      <c r="H76" s="8" t="str">
        <f>'Google Trends'!C242</f>
        <v>Macroeconomic</v>
      </c>
      <c r="I76" s="15" t="str">
        <f>'Google Trends'!D242</f>
        <v>Terrorism</v>
      </c>
      <c r="J76" s="50">
        <f ca="1">'Google Trends'!G242</f>
        <v>7.1305159312091719</v>
      </c>
      <c r="M76" s="8" t="str">
        <f>'Google News'!C136</f>
        <v>Vision &amp; technology</v>
      </c>
      <c r="N76" s="15" t="str">
        <f>'Google News'!D136</f>
        <v>Smart grids</v>
      </c>
      <c r="O76" s="50">
        <f ca="1">'Google News'!G136</f>
        <v>5.1124087591240874</v>
      </c>
      <c r="P76" s="37"/>
      <c r="R76" s="57" t="s">
        <v>236</v>
      </c>
      <c r="S76" s="15" t="s">
        <v>31</v>
      </c>
      <c r="T76" s="119">
        <f ca="1">VLOOKUP("Electricity storage",$I$46:$J$82,2,FALSE)</f>
        <v>10.599253432875617</v>
      </c>
      <c r="U76" s="119">
        <f ca="1">VLOOKUP("Electricity storage",N46:O82,2,FALSE)</f>
        <v>5.7102189781021897</v>
      </c>
      <c r="V76" s="50">
        <f t="shared" ca="1" si="4"/>
        <v>8.1547362054889039</v>
      </c>
      <c r="Y76" s="8" t="str">
        <f>'Free Patents'!D133</f>
        <v>Macroeconomic</v>
      </c>
      <c r="Z76" s="15" t="str">
        <f>'Free Patents'!E133</f>
        <v>Energy poverty</v>
      </c>
      <c r="AA76" s="50">
        <f ca="1">'Free Patents'!I133</f>
        <v>7.9707064905226881</v>
      </c>
      <c r="AE76" s="8" t="str">
        <f>Scopus!B140</f>
        <v>Vision &amp; technology</v>
      </c>
      <c r="AF76" s="15" t="str">
        <f>Scopus!C140</f>
        <v>Unconventional fossil fuels</v>
      </c>
      <c r="AG76" s="50">
        <f ca="1">Scopus!G140</f>
        <v>7.9611231101511883</v>
      </c>
      <c r="AK76" s="57" t="s">
        <v>236</v>
      </c>
      <c r="AL76" s="15" t="s">
        <v>31</v>
      </c>
      <c r="AM76" s="119">
        <f ca="1">VLOOKUP("Electricity storage",$Z$46:$AA$82,2,FALSE)</f>
        <v>8</v>
      </c>
      <c r="AN76" s="119">
        <f ca="1">VLOOKUP("Electricity storage",AF46:AG82,2,FALSE)</f>
        <v>5.7948164146868244</v>
      </c>
      <c r="AO76" s="50">
        <f t="shared" ca="1" si="5"/>
        <v>6.8974082073434122</v>
      </c>
      <c r="AS76" s="57" t="s">
        <v>236</v>
      </c>
      <c r="AT76" s="15" t="s">
        <v>30</v>
      </c>
      <c r="AU76" s="42">
        <f t="shared" ca="1" si="6"/>
        <v>8.9829165357027829</v>
      </c>
      <c r="AV76" s="50">
        <f t="shared" ca="1" si="7"/>
        <v>8.1650493961181478</v>
      </c>
      <c r="AY76" s="57" t="s">
        <v>236</v>
      </c>
      <c r="AZ76" s="15" t="s">
        <v>30</v>
      </c>
      <c r="BA76" s="148">
        <f t="shared" ca="1" si="8"/>
        <v>1.1274360401121364</v>
      </c>
      <c r="BB76" s="8"/>
      <c r="BC76" s="8"/>
      <c r="BD76" s="8"/>
    </row>
    <row r="77" spans="2:56" ht="15.75" thickBot="1" x14ac:dyDescent="0.3">
      <c r="B77" s="57" t="s">
        <v>236</v>
      </c>
      <c r="C77" s="15" t="s">
        <v>31</v>
      </c>
      <c r="D77" s="22">
        <f ca="1">'Promedios del estudio'!D42</f>
        <v>11.1</v>
      </c>
      <c r="E77" s="22">
        <f ca="1">'Promedios del estudio'!E42</f>
        <v>9.4</v>
      </c>
      <c r="H77" s="8" t="str">
        <f>'Google Trends'!C243</f>
        <v>Geopolitics &amp; regional</v>
      </c>
      <c r="I77" s="15" t="str">
        <f>'Google Trends'!D243</f>
        <v>Russia energy diplomacy</v>
      </c>
      <c r="J77" s="50">
        <f ca="1">'Google Trends'!G243</f>
        <v>6.9896013864818025</v>
      </c>
      <c r="M77" s="8" t="str">
        <f>'Google News'!C137</f>
        <v>Business environment</v>
      </c>
      <c r="N77" s="15" t="str">
        <f>'Google News'!D137</f>
        <v>Regional interconnection</v>
      </c>
      <c r="O77" s="50">
        <f ca="1">'Google News'!G137</f>
        <v>5.0597810218978099</v>
      </c>
      <c r="P77" s="37"/>
      <c r="R77" s="57" t="s">
        <v>236</v>
      </c>
      <c r="S77" s="15" t="s">
        <v>32</v>
      </c>
      <c r="T77" s="119">
        <f ca="1">VLOOKUP("Hydro power",$I$46:$J$82,2,FALSE)</f>
        <v>7.1333155579256093</v>
      </c>
      <c r="U77" s="119">
        <f ca="1">VLOOKUP("Hydro power",N46:O82,2,FALSE)</f>
        <v>5.2922627737226273</v>
      </c>
      <c r="V77" s="50">
        <f t="shared" ca="1" si="4"/>
        <v>6.2127891658241179</v>
      </c>
      <c r="Y77" s="8" t="str">
        <f>'Free Patents'!D134</f>
        <v>Macroeconomic</v>
      </c>
      <c r="Z77" s="15" t="str">
        <f>'Free Patents'!E134</f>
        <v>Global climate framework uncertainty</v>
      </c>
      <c r="AA77" s="50">
        <f ca="1">'Free Patents'!I134</f>
        <v>7.9781734635267085</v>
      </c>
      <c r="AE77" s="8" t="str">
        <f>Scopus!B141</f>
        <v>Macroeconomic</v>
      </c>
      <c r="AF77" s="15" t="str">
        <f>Scopus!C141</f>
        <v>Energy water food nexus</v>
      </c>
      <c r="AG77" s="50">
        <f ca="1">Scopus!G141</f>
        <v>7.9697624190064795</v>
      </c>
      <c r="AK77" s="57" t="s">
        <v>236</v>
      </c>
      <c r="AL77" s="15" t="s">
        <v>32</v>
      </c>
      <c r="AM77" s="119">
        <f ca="1">VLOOKUP("Hydro power",$Z$46:$AA$82,2,FALSE)</f>
        <v>7.3251005169442847</v>
      </c>
      <c r="AN77" s="119">
        <f ca="1">VLOOKUP("Hydro power",AF46:AG82,2,FALSE)</f>
        <v>6.1511879049676024</v>
      </c>
      <c r="AO77" s="50">
        <f t="shared" ca="1" si="5"/>
        <v>6.7381442109559435</v>
      </c>
      <c r="AS77" s="57" t="s">
        <v>236</v>
      </c>
      <c r="AT77" s="15" t="s">
        <v>31</v>
      </c>
      <c r="AU77" s="42">
        <f t="shared" ca="1" si="6"/>
        <v>8.1547362054889039</v>
      </c>
      <c r="AV77" s="50">
        <f t="shared" ca="1" si="7"/>
        <v>6.8974082073434122</v>
      </c>
      <c r="AY77" s="57" t="s">
        <v>236</v>
      </c>
      <c r="AZ77" s="15" t="s">
        <v>31</v>
      </c>
      <c r="BA77" s="148">
        <f t="shared" ca="1" si="8"/>
        <v>3.8649119653531585</v>
      </c>
      <c r="BB77" s="8"/>
      <c r="BC77" s="8"/>
      <c r="BD77" s="8"/>
    </row>
    <row r="78" spans="2:56" ht="15.75" thickBot="1" x14ac:dyDescent="0.3">
      <c r="B78" s="57" t="s">
        <v>236</v>
      </c>
      <c r="C78" s="15" t="s">
        <v>32</v>
      </c>
      <c r="D78" s="22">
        <f ca="1">'Promedios del estudio'!D43</f>
        <v>8.3000000000000007</v>
      </c>
      <c r="E78" s="22">
        <f ca="1">'Promedios del estudio'!E43</f>
        <v>3.3</v>
      </c>
      <c r="H78" s="8" t="str">
        <f>'Google Trends'!C267</f>
        <v>Geopolitics &amp; regional</v>
      </c>
      <c r="I78" s="15" t="str">
        <f>'Google Trends'!D267</f>
        <v>Middle East / North Africa fragility</v>
      </c>
      <c r="J78" s="50">
        <f ca="1">'Google Trends'!G267</f>
        <v>5</v>
      </c>
      <c r="M78" s="8" t="str">
        <f>'Google News'!C161</f>
        <v>Geopolitics &amp; regional</v>
      </c>
      <c r="N78" s="15" t="str">
        <f>'Google News'!D161</f>
        <v>EU cohesion</v>
      </c>
      <c r="O78" s="50">
        <f ca="1">'Google News'!G161</f>
        <v>5</v>
      </c>
      <c r="P78" s="37"/>
      <c r="R78" s="57" t="s">
        <v>236</v>
      </c>
      <c r="S78" s="15" t="s">
        <v>33</v>
      </c>
      <c r="T78" s="119">
        <f ca="1">VLOOKUP("Unconventional fossil fuels",$I$46:$J$82,2,FALSE)</f>
        <v>15.691780821917808</v>
      </c>
      <c r="U78" s="119">
        <f ca="1">VLOOKUP("Unconventional fossil fuels",N46:O82,2,FALSE)</f>
        <v>2.4178403755868545</v>
      </c>
      <c r="V78" s="50">
        <f t="shared" ca="1" si="4"/>
        <v>9.0548105987523311</v>
      </c>
      <c r="Y78" s="8" t="str">
        <f>'Free Patents'!D159</f>
        <v>Macroeconomic</v>
      </c>
      <c r="Z78" s="15" t="str">
        <f>'Free Patents'!E159</f>
        <v>Energy water food nexus</v>
      </c>
      <c r="AA78" s="50">
        <f ca="1">'Free Patents'!I159</f>
        <v>0</v>
      </c>
      <c r="AE78" s="8" t="str">
        <f>Scopus!B165</f>
        <v>Vision &amp; technology</v>
      </c>
      <c r="AF78" s="15" t="str">
        <f>Scopus!C165</f>
        <v>Carbon capture, utilisation &amp; storage (CCUS)</v>
      </c>
      <c r="AG78" s="50">
        <f ca="1">Scopus!G165</f>
        <v>0</v>
      </c>
      <c r="AK78" s="57" t="s">
        <v>236</v>
      </c>
      <c r="AL78" s="15" t="s">
        <v>33</v>
      </c>
      <c r="AM78" s="119">
        <f ca="1">VLOOKUP("Unconventional fossil fuels",$Z$46:$AA$82,2,FALSE)</f>
        <v>7.9655370476737506</v>
      </c>
      <c r="AN78" s="119">
        <f ca="1">VLOOKUP("Unconventional fossil fuels",AF46:AG82,2,FALSE)</f>
        <v>7.9611231101511883</v>
      </c>
      <c r="AO78" s="50">
        <f t="shared" ca="1" si="5"/>
        <v>7.9633300789124695</v>
      </c>
      <c r="AS78" s="57" t="s">
        <v>236</v>
      </c>
      <c r="AT78" s="15" t="s">
        <v>32</v>
      </c>
      <c r="AU78" s="42">
        <f t="shared" ca="1" si="6"/>
        <v>6.2127891658241179</v>
      </c>
      <c r="AV78" s="50">
        <f t="shared" ca="1" si="7"/>
        <v>6.7381442109559435</v>
      </c>
      <c r="AY78" s="57" t="s">
        <v>236</v>
      </c>
      <c r="AZ78" s="15" t="s">
        <v>32</v>
      </c>
      <c r="BA78" s="148">
        <f t="shared" ca="1" si="8"/>
        <v>4.0220995365146113</v>
      </c>
      <c r="BB78" s="8"/>
      <c r="BC78" s="8"/>
      <c r="BD78" s="8"/>
    </row>
    <row r="79" spans="2:56" ht="15.75" thickBot="1" x14ac:dyDescent="0.3">
      <c r="B79" s="57" t="s">
        <v>236</v>
      </c>
      <c r="C79" s="15" t="s">
        <v>33</v>
      </c>
      <c r="D79" s="22">
        <f ca="1">'Promedios del estudio'!D44</f>
        <v>10.9</v>
      </c>
      <c r="E79" s="22">
        <f ca="1">'Promedios del estudio'!E44</f>
        <v>8.5</v>
      </c>
      <c r="H79" s="8" t="str">
        <f>'Google Trends'!C268</f>
        <v>Macroeconomic</v>
      </c>
      <c r="I79" s="15" t="str">
        <f>'Google Trends'!D268</f>
        <v>Large scale accidents</v>
      </c>
      <c r="J79" s="50">
        <f ca="1">'Google Trends'!G268</f>
        <v>3.8833746898263026</v>
      </c>
      <c r="M79" s="8" t="str">
        <f>'Google News'!C162</f>
        <v>Macroeconomic</v>
      </c>
      <c r="N79" s="15" t="str">
        <f>'Google News'!D162</f>
        <v>Talent scarcity</v>
      </c>
      <c r="O79" s="50">
        <f ca="1">'Google News'!G162</f>
        <v>4.066901408450704</v>
      </c>
      <c r="P79" s="37"/>
      <c r="R79" s="57" t="s">
        <v>236</v>
      </c>
      <c r="S79" s="15" t="s">
        <v>35</v>
      </c>
      <c r="T79" s="119">
        <f ca="1">VLOOKUP("Hydrogen economy",$I$46:$J$82,2,FALSE)</f>
        <v>1.9602977667493795</v>
      </c>
      <c r="U79" s="119">
        <f ca="1">VLOOKUP("Hydrogen economy",N46:O82,2,FALSE)</f>
        <v>5.2360583941605841</v>
      </c>
      <c r="V79" s="50">
        <f t="shared" ca="1" si="4"/>
        <v>3.5981780804549817</v>
      </c>
      <c r="Y79" s="8" t="str">
        <f>'Free Patents'!D160</f>
        <v>Macroeconomic</v>
      </c>
      <c r="Z79" s="15" t="str">
        <f>'Free Patents'!E160</f>
        <v>Global Recesion</v>
      </c>
      <c r="AA79" s="50">
        <f ca="1">'Free Patents'!I160</f>
        <v>3.0697674418604652</v>
      </c>
      <c r="AE79" s="8" t="str">
        <f>Scopus!B166</f>
        <v>Macroeconomic</v>
      </c>
      <c r="AF79" s="15" t="str">
        <f>Scopus!C166</f>
        <v>Talent scarcity</v>
      </c>
      <c r="AG79" s="50">
        <f ca="1">Scopus!G166</f>
        <v>3.6923076923076925</v>
      </c>
      <c r="AK79" s="57" t="s">
        <v>236</v>
      </c>
      <c r="AL79" s="15" t="s">
        <v>35</v>
      </c>
      <c r="AM79" s="119">
        <f ca="1">VLOOKUP("Hydrogen economy",$Z$46:$AA$82,2,FALSE)</f>
        <v>7.399195864445721</v>
      </c>
      <c r="AN79" s="119">
        <f ca="1">VLOOKUP("Hydrogen economy",AF46:AG82,2,FALSE)</f>
        <v>7.5766738660907134</v>
      </c>
      <c r="AO79" s="50">
        <f t="shared" ca="1" si="5"/>
        <v>7.4879348652682172</v>
      </c>
      <c r="AS79" s="57" t="s">
        <v>236</v>
      </c>
      <c r="AT79" s="15" t="s">
        <v>33</v>
      </c>
      <c r="AU79" s="42">
        <f t="shared" ca="1" si="6"/>
        <v>9.0548105987523311</v>
      </c>
      <c r="AV79" s="50">
        <f t="shared" ca="1" si="7"/>
        <v>7.9633300789124695</v>
      </c>
      <c r="AY79" s="57" t="s">
        <v>236</v>
      </c>
      <c r="AZ79" s="15" t="s">
        <v>33</v>
      </c>
      <c r="BA79" s="148">
        <f t="shared" ca="1" si="8"/>
        <v>1.9216499500889408</v>
      </c>
      <c r="BB79" s="8"/>
      <c r="BC79" s="8"/>
      <c r="BD79" s="8"/>
    </row>
    <row r="80" spans="2:56" ht="15.75" thickBot="1" x14ac:dyDescent="0.3">
      <c r="B80" s="57" t="s">
        <v>236</v>
      </c>
      <c r="C80" s="15" t="s">
        <v>35</v>
      </c>
      <c r="D80" s="22">
        <f ca="1">'Promedios del estudio'!D45</f>
        <v>3</v>
      </c>
      <c r="E80" s="22">
        <f ca="1">'Promedios del estudio'!E45</f>
        <v>6.4</v>
      </c>
      <c r="H80" s="8" t="str">
        <f>'Google Trends'!C269</f>
        <v>Macroeconomic</v>
      </c>
      <c r="I80" s="15" t="str">
        <f>'Google Trends'!D269</f>
        <v>Currency uncertainty</v>
      </c>
      <c r="J80" s="50">
        <f ca="1">'Google Trends'!G269</f>
        <v>3.279569892473118</v>
      </c>
      <c r="M80" s="8" t="str">
        <f>'Google News'!C163</f>
        <v>Macroeconomic</v>
      </c>
      <c r="N80" s="15" t="str">
        <f>'Google News'!D163</f>
        <v>Energy water food nexus</v>
      </c>
      <c r="O80" s="50">
        <f ca="1">'Google News'!G163</f>
        <v>2.887323943661972</v>
      </c>
      <c r="P80" s="37"/>
      <c r="R80" s="57" t="s">
        <v>236</v>
      </c>
      <c r="S80" s="15" t="s">
        <v>220</v>
      </c>
      <c r="T80" s="119">
        <f ca="1">VLOOKUP("Energy Efficiency",$I$46:$J$82,2,FALSE)</f>
        <v>15.625131717597471</v>
      </c>
      <c r="U80" s="119">
        <f ca="1">VLOOKUP("Energy Efficiency",N46:O82,2,FALSE)</f>
        <v>8.9343065693430646</v>
      </c>
      <c r="V80" s="50">
        <f t="shared" ca="1" si="4"/>
        <v>12.279719143470267</v>
      </c>
      <c r="Y80" s="8" t="str">
        <f>'Free Patents'!D161</f>
        <v>Geopolitics &amp; regional</v>
      </c>
      <c r="Z80" s="15" t="str">
        <f>'Free Patents'!E161</f>
        <v>Middle East / North Africa fragility</v>
      </c>
      <c r="AA80" s="50">
        <f ca="1">'Free Patents'!I161</f>
        <v>3.2558139534883721</v>
      </c>
      <c r="AE80" s="8" t="str">
        <f>Scopus!B167</f>
        <v>Geopolitics &amp; regional</v>
      </c>
      <c r="AF80" s="15" t="str">
        <f>Scopus!C167</f>
        <v>Middle East / North Africa fragility</v>
      </c>
      <c r="AG80" s="50">
        <f ca="1">Scopus!G167</f>
        <v>3.6923076923076925</v>
      </c>
      <c r="AK80" s="57" t="s">
        <v>236</v>
      </c>
      <c r="AL80" s="15" t="s">
        <v>220</v>
      </c>
      <c r="AM80" s="119">
        <f ca="1">VLOOKUP("Energy Efficiency",$Z$46:$AA$82,2,FALSE)</f>
        <v>9.15253657528487</v>
      </c>
      <c r="AN80" s="119">
        <f ca="1">VLOOKUP("Energy Efficiency",AF46:AG82,2,FALSE)</f>
        <v>7.421166306695465</v>
      </c>
      <c r="AO80" s="50">
        <f t="shared" ca="1" si="5"/>
        <v>8.2868514409901675</v>
      </c>
      <c r="AS80" s="57" t="s">
        <v>236</v>
      </c>
      <c r="AT80" s="15" t="s">
        <v>35</v>
      </c>
      <c r="AU80" s="42">
        <f t="shared" ca="1" si="6"/>
        <v>3.5981780804549817</v>
      </c>
      <c r="AV80" s="50">
        <f t="shared" ca="1" si="7"/>
        <v>7.4879348652682172</v>
      </c>
      <c r="AY80" s="57" t="s">
        <v>236</v>
      </c>
      <c r="AZ80" s="15" t="s">
        <v>35</v>
      </c>
      <c r="BA80" s="148">
        <f t="shared" ca="1" si="8"/>
        <v>1.2415390799338455</v>
      </c>
      <c r="BB80" s="8"/>
      <c r="BC80" s="8"/>
      <c r="BD80" s="8"/>
    </row>
    <row r="81" spans="2:56" ht="15.75" thickBot="1" x14ac:dyDescent="0.3">
      <c r="B81" s="57" t="s">
        <v>236</v>
      </c>
      <c r="C81" s="15" t="s">
        <v>220</v>
      </c>
      <c r="D81" s="22">
        <f ca="1">'Promedios del estudio'!D46</f>
        <v>16.3</v>
      </c>
      <c r="E81" s="22">
        <f ca="1">'Promedios del estudio'!E46</f>
        <v>7</v>
      </c>
      <c r="H81" s="8" t="str">
        <f>'Google Trends'!C270</f>
        <v>Vision &amp; technology</v>
      </c>
      <c r="I81" s="15" t="str">
        <f>'Google Trends'!D270</f>
        <v>Hydrogen economy</v>
      </c>
      <c r="J81" s="50">
        <f ca="1">'Google Trends'!G270</f>
        <v>1.9602977667493795</v>
      </c>
      <c r="M81" s="8" t="str">
        <f>'Google News'!C164</f>
        <v>Vision &amp; technology</v>
      </c>
      <c r="N81" s="15" t="str">
        <f>'Google News'!D164</f>
        <v>Unconventional fossil fuels</v>
      </c>
      <c r="O81" s="50">
        <f ca="1">'Google News'!G164</f>
        <v>2.4178403755868545</v>
      </c>
      <c r="P81" s="37"/>
      <c r="R81" s="58" t="s">
        <v>236</v>
      </c>
      <c r="S81" s="47" t="s">
        <v>0</v>
      </c>
      <c r="T81" s="120">
        <f ca="1">VLOOKUP("Nuclear energy",$I$46:$J$82,2,FALSE)</f>
        <v>7.6624450073323551</v>
      </c>
      <c r="U81" s="120">
        <f ca="1">VLOOKUP("Nuclear energy",N46:O82,2,FALSE)</f>
        <v>8.3875912408759117</v>
      </c>
      <c r="V81" s="51">
        <f t="shared" ca="1" si="4"/>
        <v>8.0250181241041325</v>
      </c>
      <c r="Y81" s="8" t="str">
        <f>'Free Patents'!D162</f>
        <v>Macroeconomic</v>
      </c>
      <c r="Z81" s="15" t="str">
        <f>'Free Patents'!E162</f>
        <v>Talent scarcity</v>
      </c>
      <c r="AA81" s="50">
        <f ca="1">'Free Patents'!I162</f>
        <v>3.441860465116279</v>
      </c>
      <c r="AE81" s="8" t="str">
        <f>Scopus!B168</f>
        <v>Geopolitics &amp; regional</v>
      </c>
      <c r="AF81" s="15" t="str">
        <f>Scopus!C168</f>
        <v>Russia energy diplomacy</v>
      </c>
      <c r="AG81" s="50">
        <f ca="1">Scopus!G168</f>
        <v>4</v>
      </c>
      <c r="AK81" s="58" t="s">
        <v>236</v>
      </c>
      <c r="AL81" s="47" t="s">
        <v>0</v>
      </c>
      <c r="AM81" s="120">
        <f ca="1">VLOOKUP("Nuclear energy",$Z$46:$AA$82,2,FALSE)</f>
        <v>4</v>
      </c>
      <c r="AN81" s="120">
        <f ca="1">VLOOKUP("Nuclear energy",AF46:AG82,2,FALSE)</f>
        <v>8.6027050941726699</v>
      </c>
      <c r="AO81" s="51">
        <f t="shared" ca="1" si="5"/>
        <v>6.301352547086335</v>
      </c>
      <c r="AS81" s="57" t="s">
        <v>236</v>
      </c>
      <c r="AT81" s="15" t="s">
        <v>220</v>
      </c>
      <c r="AU81" s="42">
        <f t="shared" ca="1" si="6"/>
        <v>12.279719143470267</v>
      </c>
      <c r="AV81" s="50">
        <f t="shared" ca="1" si="7"/>
        <v>8.2868514409901675</v>
      </c>
      <c r="AY81" s="57" t="s">
        <v>236</v>
      </c>
      <c r="AZ81" s="15" t="s">
        <v>220</v>
      </c>
      <c r="BA81" s="148">
        <f t="shared" ca="1" si="8"/>
        <v>4.2212136639310174</v>
      </c>
      <c r="BB81" s="8"/>
      <c r="BC81" s="8"/>
      <c r="BD81" s="8"/>
    </row>
    <row r="82" spans="2:56" ht="15.75" thickBot="1" x14ac:dyDescent="0.3">
      <c r="B82" s="58" t="s">
        <v>236</v>
      </c>
      <c r="C82" s="47" t="s">
        <v>0</v>
      </c>
      <c r="D82" s="22">
        <f ca="1">'Promedios del estudio'!D47</f>
        <v>10.5</v>
      </c>
      <c r="E82" s="22">
        <f ca="1">'Promedios del estudio'!E47</f>
        <v>8.9</v>
      </c>
      <c r="H82" s="8" t="str">
        <f>'Google Trends'!C271</f>
        <v>Macroeconomic</v>
      </c>
      <c r="I82" s="47" t="str">
        <f>'Google Trends'!D271</f>
        <v>Global Recesion</v>
      </c>
      <c r="J82" s="51">
        <f ca="1">'Google Trends'!G271</f>
        <v>0.41228287841191058</v>
      </c>
      <c r="M82" s="8" t="str">
        <f>'Google News'!C165</f>
        <v>Macroeconomic</v>
      </c>
      <c r="N82" s="47" t="str">
        <f>'Google News'!D165</f>
        <v>Global climate framework uncertainty</v>
      </c>
      <c r="O82" s="51">
        <f ca="1">'Google News'!G165</f>
        <v>2.15962441314554</v>
      </c>
      <c r="P82" s="37"/>
      <c r="Y82" s="8" t="str">
        <f>'Free Patents'!D163</f>
        <v>Geopolitics &amp; regional</v>
      </c>
      <c r="Z82" s="47" t="str">
        <f>'Free Patents'!E163</f>
        <v>Russia energy diplomacy</v>
      </c>
      <c r="AA82" s="51">
        <f ca="1">'Free Patents'!I163</f>
        <v>3.9069767441860463</v>
      </c>
      <c r="AE82" s="8" t="str">
        <f>Scopus!B169</f>
        <v>Geopolitics &amp; regional</v>
      </c>
      <c r="AF82" s="47" t="str">
        <f>Scopus!C169</f>
        <v>US trade and policy influencing global energy markets</v>
      </c>
      <c r="AG82" s="51">
        <f ca="1">Scopus!G169</f>
        <v>4</v>
      </c>
      <c r="AS82" s="58" t="s">
        <v>236</v>
      </c>
      <c r="AT82" s="47" t="s">
        <v>0</v>
      </c>
      <c r="AU82" s="59">
        <f t="shared" ca="1" si="6"/>
        <v>8.0250181241041325</v>
      </c>
      <c r="AV82" s="51">
        <f t="shared" ca="1" si="7"/>
        <v>6.301352547086335</v>
      </c>
      <c r="AY82" s="58" t="s">
        <v>236</v>
      </c>
      <c r="AZ82" s="47" t="s">
        <v>0</v>
      </c>
      <c r="BA82" s="149">
        <f t="shared" ca="1" si="8"/>
        <v>3.5886632428451279</v>
      </c>
      <c r="BB82" s="8"/>
      <c r="BC82" s="8"/>
      <c r="BD82" s="8"/>
    </row>
    <row r="83" spans="2:56" x14ac:dyDescent="0.25">
      <c r="AY83" s="8"/>
      <c r="AZ83" s="8"/>
      <c r="BA83" s="8"/>
      <c r="BB83" s="8"/>
      <c r="BC83" s="8"/>
    </row>
    <row r="84" spans="2:56" x14ac:dyDescent="0.25">
      <c r="AY84" s="8"/>
      <c r="AZ84" s="8"/>
      <c r="BA84" s="8"/>
      <c r="BB84" s="8"/>
      <c r="BC84" s="8"/>
    </row>
    <row r="85" spans="2:56" x14ac:dyDescent="0.25">
      <c r="AY85" s="8"/>
      <c r="AZ85" s="8"/>
      <c r="BA85" s="8"/>
      <c r="BB85" s="8"/>
      <c r="BC85" s="8"/>
    </row>
    <row r="86" spans="2:56" x14ac:dyDescent="0.25">
      <c r="B86" s="8"/>
      <c r="C86" s="8"/>
      <c r="D86" s="8"/>
      <c r="E86" s="8"/>
      <c r="F86" s="8"/>
      <c r="G86" s="8"/>
      <c r="AY86" s="8"/>
      <c r="AZ86" s="8"/>
      <c r="BA86" s="8"/>
      <c r="BB86" s="8"/>
      <c r="BC86" s="8"/>
    </row>
    <row r="87" spans="2:56" x14ac:dyDescent="0.25">
      <c r="B87" s="8"/>
      <c r="C87" s="8"/>
      <c r="D87" s="8"/>
      <c r="E87" s="8"/>
      <c r="F87" s="8"/>
      <c r="G87" s="8"/>
      <c r="AY87" s="8"/>
      <c r="AZ87" s="8"/>
      <c r="BA87" s="8"/>
      <c r="BB87" s="8"/>
      <c r="BC87" s="8"/>
    </row>
    <row r="88" spans="2:56" x14ac:dyDescent="0.25">
      <c r="B88" s="8"/>
      <c r="C88" s="8"/>
      <c r="D88" s="8"/>
      <c r="E88" s="8"/>
      <c r="F88" s="8"/>
      <c r="G88" s="8"/>
      <c r="AY88" s="8"/>
      <c r="AZ88" s="8"/>
      <c r="BA88" s="8"/>
      <c r="BB88" s="8"/>
      <c r="BC88" s="8"/>
    </row>
    <row r="89" spans="2:56" x14ac:dyDescent="0.25">
      <c r="B89" s="8"/>
      <c r="C89" s="8"/>
      <c r="D89" s="8"/>
      <c r="E89" s="8"/>
      <c r="F89" s="8"/>
      <c r="G89" s="8"/>
      <c r="AS89" s="8"/>
      <c r="AT89" s="8"/>
      <c r="AU89" s="8"/>
      <c r="AV89" s="8"/>
      <c r="AW89" s="8"/>
      <c r="AY89" s="8"/>
      <c r="AZ89" s="8"/>
      <c r="BA89" s="8"/>
      <c r="BB89" s="8"/>
      <c r="BC89" s="8"/>
    </row>
    <row r="90" spans="2:56" x14ac:dyDescent="0.25">
      <c r="B90" s="8"/>
      <c r="C90" s="8"/>
      <c r="D90" s="8"/>
      <c r="E90" s="8"/>
      <c r="F90" s="8"/>
      <c r="G90" s="8"/>
      <c r="AS90" s="8"/>
      <c r="AT90" s="8"/>
      <c r="AU90" s="8"/>
      <c r="AV90" s="8"/>
      <c r="AW90" s="8"/>
      <c r="AY90" s="8"/>
      <c r="AZ90" s="8"/>
      <c r="BA90" s="8"/>
      <c r="BB90" s="8"/>
      <c r="BC90" s="8"/>
    </row>
    <row r="91" spans="2:56" x14ac:dyDescent="0.25">
      <c r="B91" s="8"/>
      <c r="C91" s="8"/>
      <c r="D91" s="8"/>
      <c r="E91" s="8"/>
      <c r="F91" s="8"/>
      <c r="G91" s="8"/>
      <c r="AS91" s="8"/>
      <c r="AT91" s="8"/>
      <c r="AU91" s="8"/>
      <c r="AV91" s="8"/>
      <c r="AW91" s="8"/>
    </row>
    <row r="92" spans="2:56" x14ac:dyDescent="0.25">
      <c r="B92" s="8"/>
      <c r="C92" s="8"/>
      <c r="D92" s="8"/>
      <c r="E92" s="8"/>
      <c r="F92" s="8"/>
      <c r="G92" s="8"/>
      <c r="AS92" s="8"/>
      <c r="AT92" s="8"/>
      <c r="AU92" s="8"/>
      <c r="AV92" s="8"/>
      <c r="AW92" s="8"/>
    </row>
    <row r="93" spans="2:56" x14ac:dyDescent="0.25">
      <c r="B93" s="8"/>
      <c r="C93" s="8"/>
      <c r="D93" s="8"/>
      <c r="E93" s="8"/>
      <c r="F93" s="8"/>
      <c r="G93" s="8"/>
      <c r="AS93" s="8"/>
      <c r="AT93" s="8"/>
      <c r="AU93" s="8"/>
      <c r="AV93" s="8"/>
      <c r="AW93" s="8"/>
    </row>
    <row r="94" spans="2:56" x14ac:dyDescent="0.25">
      <c r="B94" s="8"/>
      <c r="C94" s="8"/>
      <c r="D94" s="8"/>
      <c r="E94" s="8"/>
      <c r="F94" s="8"/>
      <c r="G94" s="8"/>
      <c r="AS94" s="8"/>
      <c r="AT94" s="8"/>
      <c r="AU94" s="8"/>
      <c r="AV94" s="8"/>
      <c r="AW94" s="8"/>
    </row>
    <row r="95" spans="2:56" x14ac:dyDescent="0.25">
      <c r="B95" s="8"/>
      <c r="C95" s="8"/>
      <c r="D95" s="8"/>
      <c r="E95" s="8"/>
      <c r="F95" s="8"/>
      <c r="G95" s="8"/>
      <c r="AS95" s="8"/>
      <c r="AT95" s="8"/>
      <c r="AU95" s="8"/>
      <c r="AV95" s="8"/>
      <c r="AW95" s="8"/>
    </row>
    <row r="96" spans="2:56" x14ac:dyDescent="0.25">
      <c r="B96" s="8"/>
      <c r="C96" s="8"/>
      <c r="D96" s="8"/>
      <c r="E96" s="8"/>
      <c r="F96" s="8"/>
      <c r="G96" s="8"/>
      <c r="AS96" s="8"/>
      <c r="AT96" s="8"/>
      <c r="AU96" s="8"/>
      <c r="AV96" s="8"/>
      <c r="AW96" s="8"/>
    </row>
    <row r="97" spans="2:7" x14ac:dyDescent="0.25">
      <c r="B97" s="8"/>
      <c r="C97" s="8"/>
      <c r="D97" s="8"/>
      <c r="E97" s="8"/>
      <c r="F97" s="8"/>
      <c r="G97" s="8"/>
    </row>
    <row r="98" spans="2:7" x14ac:dyDescent="0.25">
      <c r="B98" s="8"/>
      <c r="C98" s="8"/>
      <c r="D98" s="8"/>
      <c r="E98" s="8"/>
      <c r="F98" s="8"/>
      <c r="G98" s="8"/>
    </row>
    <row r="99" spans="2:7" x14ac:dyDescent="0.25">
      <c r="B99" s="8"/>
      <c r="C99" s="8"/>
      <c r="D99" s="8"/>
      <c r="E99" s="8"/>
      <c r="F99" s="8"/>
      <c r="G99" s="8"/>
    </row>
  </sheetData>
  <mergeCells count="22">
    <mergeCell ref="EL5:EN5"/>
    <mergeCell ref="AY44:BA44"/>
    <mergeCell ref="BC44:BE44"/>
    <mergeCell ref="BS4:BU4"/>
    <mergeCell ref="CQ4:CS4"/>
    <mergeCell ref="DO5:DQ5"/>
    <mergeCell ref="DW4:EJ4"/>
    <mergeCell ref="BE3:BQ3"/>
    <mergeCell ref="CB3:CO3"/>
    <mergeCell ref="CZ4:DM4"/>
    <mergeCell ref="AS44:AV44"/>
    <mergeCell ref="C4:I4"/>
    <mergeCell ref="AE43:AG43"/>
    <mergeCell ref="B43:E43"/>
    <mergeCell ref="H43:J43"/>
    <mergeCell ref="M43:O43"/>
    <mergeCell ref="Y43:AA43"/>
    <mergeCell ref="R43:V43"/>
    <mergeCell ref="AK43:AO43"/>
    <mergeCell ref="M4:S4"/>
    <mergeCell ref="C5:I39"/>
    <mergeCell ref="M5:S39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DK268"/>
  <sheetViews>
    <sheetView topLeftCell="A181" zoomScale="90" zoomScaleNormal="90" workbookViewId="0">
      <selection activeCell="D164" sqref="D164:D200"/>
    </sheetView>
  </sheetViews>
  <sheetFormatPr baseColWidth="10" defaultRowHeight="15" x14ac:dyDescent="0.25"/>
  <cols>
    <col min="1" max="1" width="4.42578125" style="8" customWidth="1"/>
    <col min="2" max="2" width="24.42578125" style="8" customWidth="1"/>
    <col min="3" max="3" width="49.42578125" style="8" customWidth="1"/>
    <col min="4" max="4" width="16.42578125" style="8" customWidth="1"/>
    <col min="5" max="5" width="20.7109375" customWidth="1"/>
    <col min="6" max="6" width="19.42578125" customWidth="1"/>
    <col min="9" max="9" width="23.85546875" customWidth="1"/>
    <col min="10" max="10" width="24.5703125" customWidth="1"/>
    <col min="12" max="12" width="16.28515625" customWidth="1"/>
    <col min="15" max="15" width="15.85546875" customWidth="1"/>
    <col min="16" max="16" width="16.28515625" customWidth="1"/>
    <col min="18" max="18" width="19.85546875" customWidth="1"/>
    <col min="19" max="19" width="14.140625" customWidth="1"/>
    <col min="21" max="21" width="23.7109375" bestFit="1" customWidth="1"/>
    <col min="24" max="24" width="19.5703125" bestFit="1" customWidth="1"/>
    <col min="27" max="27" width="23.5703125" bestFit="1" customWidth="1"/>
    <col min="30" max="30" width="22.140625" customWidth="1"/>
    <col min="33" max="33" width="17.28515625" customWidth="1"/>
    <col min="36" max="36" width="19.140625" customWidth="1"/>
    <col min="39" max="39" width="16.140625" customWidth="1"/>
    <col min="41" max="43" width="11.42578125" style="8"/>
    <col min="45" max="45" width="15.5703125" customWidth="1"/>
    <col min="48" max="48" width="16.85546875" customWidth="1"/>
    <col min="51" max="51" width="19.28515625" customWidth="1"/>
    <col min="54" max="54" width="16.42578125" customWidth="1"/>
    <col min="57" max="57" width="19" customWidth="1"/>
    <col min="58" max="58" width="23.28515625" customWidth="1"/>
    <col min="60" max="60" width="26" customWidth="1"/>
    <col min="61" max="61" width="39" customWidth="1"/>
    <col min="63" max="63" width="17" customWidth="1"/>
    <col min="66" max="66" width="18.7109375" customWidth="1"/>
    <col min="69" max="69" width="15.7109375" customWidth="1"/>
    <col min="72" max="72" width="15.5703125" customWidth="1"/>
    <col min="73" max="73" width="32.7109375" customWidth="1"/>
    <col min="78" max="78" width="19.140625" customWidth="1"/>
    <col min="81" max="81" width="15.140625" customWidth="1"/>
    <col min="87" max="87" width="17.140625" customWidth="1"/>
    <col min="90" max="90" width="18.140625" customWidth="1"/>
    <col min="93" max="93" width="16.7109375" customWidth="1"/>
    <col min="96" max="96" width="16.7109375" customWidth="1"/>
    <col min="99" max="99" width="16.7109375" customWidth="1"/>
    <col min="102" max="102" width="16.5703125" customWidth="1"/>
    <col min="105" max="105" width="14.85546875" customWidth="1"/>
    <col min="106" max="106" width="19" customWidth="1"/>
    <col min="108" max="108" width="16.28515625" customWidth="1"/>
    <col min="111" max="111" width="16.140625" bestFit="1" customWidth="1"/>
    <col min="114" max="114" width="15.140625" bestFit="1" customWidth="1"/>
  </cols>
  <sheetData>
    <row r="1" spans="2:115" s="40" customFormat="1" ht="15" customHeight="1" x14ac:dyDescent="0.25">
      <c r="B1" s="187" t="s">
        <v>381</v>
      </c>
      <c r="C1" s="187"/>
    </row>
    <row r="2" spans="2:115" ht="15.75" customHeight="1" thickBot="1" x14ac:dyDescent="0.3">
      <c r="B2" s="187"/>
      <c r="C2" s="187"/>
    </row>
    <row r="3" spans="2:115" ht="15" customHeight="1" x14ac:dyDescent="0.25">
      <c r="B3" s="187"/>
      <c r="C3" s="187"/>
      <c r="F3" s="15" t="s">
        <v>219</v>
      </c>
      <c r="G3" s="15"/>
      <c r="H3" s="8"/>
      <c r="I3" s="15" t="s">
        <v>1</v>
      </c>
      <c r="J3" s="16"/>
      <c r="K3" s="8"/>
      <c r="L3" s="15" t="s">
        <v>2</v>
      </c>
      <c r="M3" s="16"/>
      <c r="N3" s="8"/>
      <c r="O3" s="15" t="s">
        <v>3</v>
      </c>
      <c r="P3" s="16"/>
      <c r="Q3" s="8"/>
      <c r="R3" s="15" t="s">
        <v>4</v>
      </c>
      <c r="S3" s="16"/>
      <c r="T3" s="8"/>
      <c r="U3" s="15" t="s">
        <v>5</v>
      </c>
      <c r="V3" s="16"/>
      <c r="W3" s="8"/>
      <c r="X3" s="15" t="s">
        <v>7</v>
      </c>
      <c r="Y3" s="16"/>
      <c r="Z3" s="8"/>
      <c r="AA3" s="15" t="s">
        <v>8</v>
      </c>
      <c r="AB3" s="16"/>
      <c r="AC3" s="8"/>
      <c r="AD3" s="27" t="s">
        <v>9</v>
      </c>
      <c r="AE3" s="28"/>
      <c r="AF3" s="8"/>
      <c r="AG3" s="15" t="s">
        <v>10</v>
      </c>
      <c r="AH3" s="16"/>
      <c r="AI3" s="8"/>
      <c r="AJ3" s="15" t="s">
        <v>12</v>
      </c>
      <c r="AK3" s="16"/>
      <c r="AL3" s="8"/>
      <c r="AM3" s="15" t="s">
        <v>11</v>
      </c>
      <c r="AN3" s="16"/>
      <c r="AP3" s="15" t="s">
        <v>19</v>
      </c>
      <c r="AQ3" s="16"/>
      <c r="AR3" s="8"/>
      <c r="AS3" s="15" t="s">
        <v>13</v>
      </c>
      <c r="AT3" s="16"/>
      <c r="AU3" s="8"/>
      <c r="AV3" s="15" t="s">
        <v>15</v>
      </c>
      <c r="AW3" s="16"/>
      <c r="AX3" s="8"/>
      <c r="AY3" s="15" t="s">
        <v>16</v>
      </c>
      <c r="AZ3" s="16"/>
      <c r="BA3" s="8"/>
      <c r="BB3" s="15" t="s">
        <v>17</v>
      </c>
      <c r="BC3" s="16"/>
      <c r="BD3" s="8"/>
      <c r="BE3" s="15" t="s">
        <v>187</v>
      </c>
      <c r="BF3" s="16"/>
      <c r="BG3" s="8"/>
      <c r="BH3" s="15" t="s">
        <v>18</v>
      </c>
      <c r="BI3" s="16"/>
      <c r="BJ3" s="8"/>
      <c r="BK3" s="15" t="s">
        <v>20</v>
      </c>
      <c r="BL3" s="16"/>
      <c r="BM3" s="8"/>
      <c r="BN3" s="15" t="s">
        <v>21</v>
      </c>
      <c r="BO3" s="16"/>
      <c r="BP3" s="8"/>
      <c r="BQ3" s="15" t="s">
        <v>22</v>
      </c>
      <c r="BR3" s="16"/>
      <c r="BS3" s="8"/>
      <c r="BT3" s="15" t="s">
        <v>23</v>
      </c>
      <c r="BU3" s="16"/>
      <c r="BV3" s="8"/>
      <c r="BW3" s="15" t="s">
        <v>24</v>
      </c>
      <c r="BX3" s="16"/>
      <c r="BY3" s="8"/>
      <c r="BZ3" s="15" t="s">
        <v>25</v>
      </c>
      <c r="CA3" s="16"/>
      <c r="CB3" s="8"/>
      <c r="CC3" s="15" t="s">
        <v>26</v>
      </c>
      <c r="CD3" s="16"/>
      <c r="CE3" s="8"/>
      <c r="CF3" s="15" t="s">
        <v>200</v>
      </c>
      <c r="CG3" s="16"/>
      <c r="CH3" s="8"/>
      <c r="CI3" s="15" t="s">
        <v>27</v>
      </c>
      <c r="CJ3" s="16"/>
      <c r="CK3" s="8"/>
      <c r="CL3" s="15" t="s">
        <v>28</v>
      </c>
      <c r="CM3" s="16"/>
      <c r="CN3" s="8"/>
      <c r="CO3" s="15" t="s">
        <v>29</v>
      </c>
      <c r="CP3" s="16"/>
      <c r="CQ3" s="8"/>
      <c r="CR3" s="15" t="s">
        <v>30</v>
      </c>
      <c r="CS3" s="16"/>
      <c r="CT3" s="8"/>
      <c r="CU3" s="15" t="s">
        <v>31</v>
      </c>
      <c r="CV3" s="16"/>
      <c r="CW3" s="8"/>
      <c r="CX3" s="15" t="s">
        <v>32</v>
      </c>
      <c r="CY3" s="16"/>
      <c r="CZ3" s="8"/>
      <c r="DA3" s="15" t="s">
        <v>33</v>
      </c>
      <c r="DB3" s="16"/>
      <c r="DC3" s="8"/>
      <c r="DD3" s="15" t="s">
        <v>35</v>
      </c>
      <c r="DE3" s="15"/>
      <c r="DG3" s="15" t="s">
        <v>220</v>
      </c>
      <c r="DH3" s="15"/>
      <c r="DJ3" s="15" t="s">
        <v>0</v>
      </c>
      <c r="DK3" s="16"/>
    </row>
    <row r="4" spans="2:115" ht="15" customHeight="1" x14ac:dyDescent="0.25">
      <c r="B4" s="187"/>
      <c r="C4" s="187"/>
      <c r="F4" s="9"/>
      <c r="G4" s="22"/>
      <c r="I4" s="9"/>
      <c r="J4" s="22"/>
      <c r="L4" s="9"/>
      <c r="M4" s="22"/>
      <c r="O4" s="9"/>
      <c r="P4" s="22"/>
      <c r="R4" s="9"/>
      <c r="S4" s="22"/>
      <c r="U4" s="9"/>
      <c r="V4" s="22"/>
      <c r="X4" s="9"/>
      <c r="Y4" s="22"/>
      <c r="AA4" s="9"/>
      <c r="AB4" s="22"/>
      <c r="AD4" s="9"/>
      <c r="AE4" s="22"/>
      <c r="AG4" s="9"/>
      <c r="AH4" s="22"/>
      <c r="AJ4" s="9"/>
      <c r="AK4" s="22"/>
      <c r="AM4" s="9"/>
      <c r="AN4" s="22"/>
      <c r="AO4" s="14"/>
      <c r="AP4" s="9"/>
      <c r="AQ4" s="22"/>
      <c r="AS4" s="9"/>
      <c r="AT4" s="22"/>
      <c r="AV4" s="9"/>
      <c r="AW4" s="22"/>
      <c r="AY4" s="9"/>
      <c r="AZ4" s="22"/>
      <c r="BB4" s="9"/>
      <c r="BC4" s="22"/>
      <c r="BE4" s="9"/>
      <c r="BF4" s="22"/>
      <c r="BH4" s="9"/>
      <c r="BI4" s="22"/>
      <c r="BK4" s="9"/>
      <c r="BL4" s="22"/>
      <c r="BN4" s="9"/>
      <c r="BO4" s="22"/>
      <c r="BQ4" s="9"/>
      <c r="BR4" s="22"/>
      <c r="BT4" s="9"/>
      <c r="BU4" s="22"/>
      <c r="BW4" s="9"/>
      <c r="BX4" s="22"/>
      <c r="BZ4" s="9"/>
      <c r="CA4" s="22"/>
      <c r="CC4" s="9"/>
      <c r="CD4" s="22"/>
      <c r="CF4" s="9"/>
      <c r="CG4" s="22"/>
      <c r="CI4" s="9"/>
      <c r="CJ4" s="22"/>
      <c r="CL4" s="9"/>
      <c r="CM4" s="22"/>
      <c r="CO4" s="9"/>
      <c r="CP4" s="22"/>
      <c r="CR4" s="9"/>
      <c r="CS4" s="22"/>
      <c r="CU4" s="9"/>
      <c r="CV4" s="22"/>
      <c r="CX4" s="9"/>
      <c r="CY4" s="22"/>
      <c r="DA4" s="9"/>
      <c r="DB4" s="22"/>
      <c r="DD4" s="9"/>
      <c r="DE4" s="22"/>
      <c r="DG4" s="9"/>
      <c r="DH4" s="22"/>
      <c r="DJ4" s="9"/>
      <c r="DK4" s="22"/>
    </row>
    <row r="5" spans="2:115" ht="15" customHeight="1" x14ac:dyDescent="0.25">
      <c r="B5" s="187"/>
      <c r="C5" s="187"/>
      <c r="F5" s="9" t="s">
        <v>218</v>
      </c>
      <c r="G5" s="22">
        <v>14.3</v>
      </c>
      <c r="I5" s="9" t="s">
        <v>218</v>
      </c>
      <c r="J5" s="22">
        <v>12.2</v>
      </c>
      <c r="L5" s="9" t="s">
        <v>218</v>
      </c>
      <c r="M5" s="22">
        <v>10.8</v>
      </c>
      <c r="O5" s="9" t="s">
        <v>218</v>
      </c>
      <c r="P5" s="22">
        <v>12.4</v>
      </c>
      <c r="R5" s="9" t="s">
        <v>218</v>
      </c>
      <c r="S5" s="22">
        <v>11.9</v>
      </c>
      <c r="U5" s="9" t="s">
        <v>218</v>
      </c>
      <c r="V5" s="22">
        <v>15.3</v>
      </c>
      <c r="X5" s="9" t="s">
        <v>218</v>
      </c>
      <c r="Y5" s="22">
        <v>5.5</v>
      </c>
      <c r="AA5" s="9" t="s">
        <v>218</v>
      </c>
      <c r="AB5" s="22">
        <v>7.8</v>
      </c>
      <c r="AD5" s="9" t="s">
        <v>218</v>
      </c>
      <c r="AE5" s="22">
        <v>8.9</v>
      </c>
      <c r="AG5" s="9" t="s">
        <v>218</v>
      </c>
      <c r="AH5" s="22">
        <v>7.5</v>
      </c>
      <c r="AJ5" s="9" t="s">
        <v>218</v>
      </c>
      <c r="AK5" s="22">
        <v>9.8000000000000007</v>
      </c>
      <c r="AM5" s="9" t="s">
        <v>218</v>
      </c>
      <c r="AN5" s="22">
        <v>8.1</v>
      </c>
      <c r="AO5" s="14"/>
      <c r="AP5" s="9" t="s">
        <v>218</v>
      </c>
      <c r="AQ5" s="22">
        <v>6</v>
      </c>
      <c r="AS5" s="9" t="s">
        <v>218</v>
      </c>
      <c r="AT5" s="22">
        <v>13.4</v>
      </c>
      <c r="AV5" s="9" t="s">
        <v>218</v>
      </c>
      <c r="AW5" s="22">
        <v>3.6</v>
      </c>
      <c r="AY5" s="9" t="s">
        <v>218</v>
      </c>
      <c r="AZ5" s="22">
        <v>7.8</v>
      </c>
      <c r="BB5" s="9" t="s">
        <v>218</v>
      </c>
      <c r="BC5" s="22">
        <v>9</v>
      </c>
      <c r="BE5" s="9" t="s">
        <v>218</v>
      </c>
      <c r="BF5" s="22">
        <v>11.3</v>
      </c>
      <c r="BH5" s="9" t="s">
        <v>218</v>
      </c>
      <c r="BI5" s="22">
        <v>10.9</v>
      </c>
      <c r="BK5" s="9" t="s">
        <v>218</v>
      </c>
      <c r="BL5" s="22">
        <v>9.1</v>
      </c>
      <c r="BN5" s="9" t="s">
        <v>218</v>
      </c>
      <c r="BO5" s="22">
        <v>12.6</v>
      </c>
      <c r="BQ5" s="9" t="s">
        <v>218</v>
      </c>
      <c r="BR5" s="22">
        <v>9.9</v>
      </c>
      <c r="BT5" s="9" t="s">
        <v>218</v>
      </c>
      <c r="BU5" s="22">
        <v>10.8</v>
      </c>
      <c r="BW5" s="9" t="s">
        <v>218</v>
      </c>
      <c r="BX5" s="22">
        <v>11.6</v>
      </c>
      <c r="BZ5" s="9" t="s">
        <v>218</v>
      </c>
      <c r="CA5" s="22">
        <v>5.7</v>
      </c>
      <c r="CC5" s="9" t="s">
        <v>218</v>
      </c>
      <c r="CD5" s="22">
        <v>7.8</v>
      </c>
      <c r="CF5" s="9" t="s">
        <v>218</v>
      </c>
      <c r="CG5" s="22">
        <v>4.9000000000000004</v>
      </c>
      <c r="CI5" s="9" t="s">
        <v>218</v>
      </c>
      <c r="CJ5" s="22">
        <v>13.6</v>
      </c>
      <c r="CL5" s="9" t="s">
        <v>218</v>
      </c>
      <c r="CM5" s="22">
        <v>4.5</v>
      </c>
      <c r="CO5" s="9" t="s">
        <v>218</v>
      </c>
      <c r="CP5" s="22">
        <v>10.6</v>
      </c>
      <c r="CR5" s="9" t="s">
        <v>218</v>
      </c>
      <c r="CS5" s="22">
        <v>8.4</v>
      </c>
      <c r="CU5" s="9" t="s">
        <v>218</v>
      </c>
      <c r="CV5" s="22">
        <v>11.1</v>
      </c>
      <c r="CX5" s="9" t="s">
        <v>218</v>
      </c>
      <c r="CY5" s="22">
        <v>8.3000000000000007</v>
      </c>
      <c r="DA5" s="9" t="s">
        <v>218</v>
      </c>
      <c r="DB5" s="22">
        <v>10.9</v>
      </c>
      <c r="DD5" s="9" t="s">
        <v>218</v>
      </c>
      <c r="DE5" s="22">
        <v>3</v>
      </c>
      <c r="DG5" s="9" t="s">
        <v>218</v>
      </c>
      <c r="DH5" s="22">
        <v>16.3</v>
      </c>
      <c r="DJ5" s="9" t="s">
        <v>218</v>
      </c>
      <c r="DK5" s="22">
        <v>10.5</v>
      </c>
    </row>
    <row r="6" spans="2:115" ht="15.75" thickBot="1" x14ac:dyDescent="0.3">
      <c r="F6" s="17" t="s">
        <v>401</v>
      </c>
      <c r="G6" s="18">
        <v>10.1</v>
      </c>
      <c r="I6" s="17" t="s">
        <v>401</v>
      </c>
      <c r="J6" s="18">
        <v>11.6</v>
      </c>
      <c r="L6" s="17" t="s">
        <v>401</v>
      </c>
      <c r="M6" s="18">
        <v>7.1</v>
      </c>
      <c r="O6" s="17" t="s">
        <v>401</v>
      </c>
      <c r="P6" s="18">
        <v>8.8000000000000007</v>
      </c>
      <c r="R6" s="17" t="s">
        <v>401</v>
      </c>
      <c r="S6" s="18">
        <v>9</v>
      </c>
      <c r="U6" s="17" t="s">
        <v>401</v>
      </c>
      <c r="V6" s="18">
        <v>11.4</v>
      </c>
      <c r="X6" s="17" t="s">
        <v>401</v>
      </c>
      <c r="Y6" s="18">
        <v>5.4</v>
      </c>
      <c r="AA6" s="17" t="s">
        <v>401</v>
      </c>
      <c r="AB6" s="18">
        <v>4.7</v>
      </c>
      <c r="AD6" s="17" t="s">
        <v>401</v>
      </c>
      <c r="AE6" s="18">
        <v>3.7</v>
      </c>
      <c r="AG6" s="17" t="s">
        <v>401</v>
      </c>
      <c r="AH6" s="18">
        <v>2.7</v>
      </c>
      <c r="AJ6" s="17" t="s">
        <v>401</v>
      </c>
      <c r="AK6" s="18">
        <v>6.8</v>
      </c>
      <c r="AM6" s="17" t="s">
        <v>401</v>
      </c>
      <c r="AN6" s="18">
        <v>4.7</v>
      </c>
      <c r="AO6" s="14"/>
      <c r="AP6" s="17" t="s">
        <v>401</v>
      </c>
      <c r="AQ6" s="18">
        <v>7.1</v>
      </c>
      <c r="AS6" s="17" t="s">
        <v>401</v>
      </c>
      <c r="AT6" s="18">
        <v>5.4</v>
      </c>
      <c r="AV6" s="17" t="s">
        <v>401</v>
      </c>
      <c r="AW6" s="18">
        <v>1.7</v>
      </c>
      <c r="AY6" s="17" t="s">
        <v>401</v>
      </c>
      <c r="AZ6" s="18">
        <v>6.1</v>
      </c>
      <c r="BB6" s="17" t="s">
        <v>401</v>
      </c>
      <c r="BC6" s="18">
        <v>7</v>
      </c>
      <c r="BE6" s="17" t="s">
        <v>401</v>
      </c>
      <c r="BF6" s="18">
        <v>10.5</v>
      </c>
      <c r="BH6" s="17" t="s">
        <v>401</v>
      </c>
      <c r="BI6" s="18">
        <v>5.4</v>
      </c>
      <c r="BK6" s="17" t="s">
        <v>401</v>
      </c>
      <c r="BL6" s="18">
        <v>6.8</v>
      </c>
      <c r="BN6" s="17" t="s">
        <v>401</v>
      </c>
      <c r="BO6" s="18">
        <v>6.3</v>
      </c>
      <c r="BQ6" s="17" t="s">
        <v>401</v>
      </c>
      <c r="BR6" s="18">
        <v>8.4</v>
      </c>
      <c r="BT6" s="17" t="s">
        <v>401</v>
      </c>
      <c r="BU6" s="18">
        <v>7.7</v>
      </c>
      <c r="BW6" s="17" t="s">
        <v>401</v>
      </c>
      <c r="BX6" s="18">
        <v>8</v>
      </c>
      <c r="BZ6" s="17" t="s">
        <v>401</v>
      </c>
      <c r="CA6" s="18">
        <v>4.4000000000000004</v>
      </c>
      <c r="CC6" s="17" t="s">
        <v>401</v>
      </c>
      <c r="CD6" s="18">
        <v>5.4</v>
      </c>
      <c r="CF6" s="17" t="s">
        <v>401</v>
      </c>
      <c r="CG6" s="18">
        <v>8.6999999999999993</v>
      </c>
      <c r="CI6" s="17" t="s">
        <v>401</v>
      </c>
      <c r="CJ6" s="18">
        <v>8.3000000000000007</v>
      </c>
      <c r="CL6" s="17" t="s">
        <v>401</v>
      </c>
      <c r="CM6" s="18">
        <v>6</v>
      </c>
      <c r="CO6" s="17" t="s">
        <v>401</v>
      </c>
      <c r="CP6" s="18">
        <v>6.4</v>
      </c>
      <c r="CR6" s="17" t="s">
        <v>401</v>
      </c>
      <c r="CS6" s="18">
        <v>7.2</v>
      </c>
      <c r="CU6" s="17" t="s">
        <v>401</v>
      </c>
      <c r="CV6" s="18">
        <v>9.4</v>
      </c>
      <c r="CX6" s="17" t="s">
        <v>401</v>
      </c>
      <c r="CY6" s="18">
        <v>3.3</v>
      </c>
      <c r="DA6" s="17" t="s">
        <v>401</v>
      </c>
      <c r="DB6" s="18">
        <v>8.5</v>
      </c>
      <c r="DD6" s="17" t="s">
        <v>401</v>
      </c>
      <c r="DE6" s="18">
        <v>6.4</v>
      </c>
      <c r="DG6" s="17" t="s">
        <v>401</v>
      </c>
      <c r="DH6" s="18">
        <v>7</v>
      </c>
      <c r="DJ6" s="17" t="s">
        <v>401</v>
      </c>
      <c r="DK6" s="18">
        <v>8.9</v>
      </c>
    </row>
    <row r="7" spans="2:115" ht="151.5" customHeight="1" x14ac:dyDescent="0.25"/>
    <row r="8" spans="2:115" s="8" customFormat="1" ht="66.75" customHeight="1" x14ac:dyDescent="0.25"/>
    <row r="9" spans="2:115" s="40" customFormat="1" ht="409.5" customHeight="1" x14ac:dyDescent="0.25"/>
    <row r="10" spans="2:115" ht="15.75" thickBot="1" x14ac:dyDescent="0.3">
      <c r="C10" s="52" t="s">
        <v>221</v>
      </c>
      <c r="D10" s="52" t="s">
        <v>226</v>
      </c>
      <c r="E10" s="52" t="s">
        <v>401</v>
      </c>
      <c r="AO10" s="14"/>
      <c r="AP10" s="14"/>
      <c r="AQ10" s="14"/>
    </row>
    <row r="11" spans="2:115" ht="15.75" thickBot="1" x14ac:dyDescent="0.3">
      <c r="B11" s="53" t="s">
        <v>233</v>
      </c>
      <c r="C11" s="15" t="s">
        <v>219</v>
      </c>
      <c r="D11" s="22">
        <f ca="1">INDIRECT(CONCATENATE("Promedio!B",F11))</f>
        <v>14.3</v>
      </c>
      <c r="E11" s="22">
        <f ca="1">INDIRECT(CONCATENATE("Promedio!C",F11))</f>
        <v>10.1</v>
      </c>
      <c r="F11" s="124">
        <v>2</v>
      </c>
      <c r="G11" s="8"/>
      <c r="J11" s="8"/>
      <c r="AO11" s="14"/>
      <c r="AP11" s="14"/>
      <c r="AQ11" s="14"/>
    </row>
    <row r="12" spans="2:115" ht="15.75" thickBot="1" x14ac:dyDescent="0.3">
      <c r="B12" s="54" t="s">
        <v>233</v>
      </c>
      <c r="C12" s="15" t="s">
        <v>1</v>
      </c>
      <c r="D12" s="22">
        <f t="shared" ref="D12:D47" ca="1" si="0">INDIRECT(CONCATENATE("Promedio!B",F12))</f>
        <v>12.2</v>
      </c>
      <c r="E12" s="22">
        <f t="shared" ref="E12:E47" ca="1" si="1">INDIRECT(CONCATENATE("Promedio!C",F12))</f>
        <v>11.6</v>
      </c>
      <c r="F12" s="124">
        <v>3</v>
      </c>
      <c r="J12" s="8"/>
    </row>
    <row r="13" spans="2:115" ht="15.75" thickBot="1" x14ac:dyDescent="0.3">
      <c r="B13" s="54" t="s">
        <v>233</v>
      </c>
      <c r="C13" s="15" t="s">
        <v>2</v>
      </c>
      <c r="D13" s="22">
        <f t="shared" ca="1" si="0"/>
        <v>10.8</v>
      </c>
      <c r="E13" s="22">
        <f t="shared" ca="1" si="1"/>
        <v>7.1</v>
      </c>
      <c r="F13" s="124">
        <v>4</v>
      </c>
      <c r="J13" s="8"/>
      <c r="O13" s="8"/>
    </row>
    <row r="14" spans="2:115" ht="15.75" thickBot="1" x14ac:dyDescent="0.3">
      <c r="B14" s="54" t="s">
        <v>233</v>
      </c>
      <c r="C14" s="15" t="s">
        <v>3</v>
      </c>
      <c r="D14" s="22">
        <f t="shared" ca="1" si="0"/>
        <v>12.4</v>
      </c>
      <c r="E14" s="22">
        <f t="shared" ca="1" si="1"/>
        <v>8.8000000000000007</v>
      </c>
      <c r="F14" s="124">
        <v>5</v>
      </c>
      <c r="J14" s="8"/>
      <c r="O14" s="8"/>
    </row>
    <row r="15" spans="2:115" ht="15.75" thickBot="1" x14ac:dyDescent="0.3">
      <c r="B15" s="54" t="s">
        <v>233</v>
      </c>
      <c r="C15" s="15" t="s">
        <v>4</v>
      </c>
      <c r="D15" s="22">
        <f t="shared" ca="1" si="0"/>
        <v>11.9</v>
      </c>
      <c r="E15" s="22">
        <f t="shared" ca="1" si="1"/>
        <v>9</v>
      </c>
      <c r="F15" s="124">
        <v>6</v>
      </c>
      <c r="J15" s="8"/>
      <c r="O15" s="8"/>
    </row>
    <row r="16" spans="2:115" ht="15.75" thickBot="1" x14ac:dyDescent="0.3">
      <c r="B16" s="54" t="s">
        <v>233</v>
      </c>
      <c r="C16" s="15" t="s">
        <v>5</v>
      </c>
      <c r="D16" s="22">
        <f t="shared" ca="1" si="0"/>
        <v>15.3</v>
      </c>
      <c r="E16" s="22">
        <f t="shared" ca="1" si="1"/>
        <v>11.4</v>
      </c>
      <c r="F16" s="124">
        <v>7</v>
      </c>
      <c r="J16" s="8"/>
      <c r="O16" s="8"/>
    </row>
    <row r="17" spans="2:15" ht="15.75" thickBot="1" x14ac:dyDescent="0.3">
      <c r="B17" s="54" t="s">
        <v>233</v>
      </c>
      <c r="C17" s="15" t="s">
        <v>7</v>
      </c>
      <c r="D17" s="22">
        <f t="shared" ca="1" si="0"/>
        <v>5.5</v>
      </c>
      <c r="E17" s="22">
        <f t="shared" ca="1" si="1"/>
        <v>5.4</v>
      </c>
      <c r="F17" s="124">
        <v>8</v>
      </c>
      <c r="J17" s="8"/>
      <c r="O17" s="8"/>
    </row>
    <row r="18" spans="2:15" ht="15.75" thickBot="1" x14ac:dyDescent="0.3">
      <c r="B18" s="54" t="s">
        <v>233</v>
      </c>
      <c r="C18" s="15" t="s">
        <v>8</v>
      </c>
      <c r="D18" s="22">
        <f t="shared" ca="1" si="0"/>
        <v>7.8</v>
      </c>
      <c r="E18" s="22">
        <f t="shared" ca="1" si="1"/>
        <v>4.7</v>
      </c>
      <c r="F18" s="124">
        <v>9</v>
      </c>
      <c r="J18" s="8"/>
      <c r="O18" s="8"/>
    </row>
    <row r="19" spans="2:15" ht="15.75" thickBot="1" x14ac:dyDescent="0.3">
      <c r="B19" s="54" t="s">
        <v>233</v>
      </c>
      <c r="C19" s="38" t="s">
        <v>9</v>
      </c>
      <c r="D19" s="22">
        <f t="shared" ca="1" si="0"/>
        <v>8.9</v>
      </c>
      <c r="E19" s="22">
        <f t="shared" ca="1" si="1"/>
        <v>3.7</v>
      </c>
      <c r="F19" s="124">
        <v>10</v>
      </c>
      <c r="J19" s="8"/>
      <c r="O19" s="8"/>
    </row>
    <row r="20" spans="2:15" ht="15.75" thickBot="1" x14ac:dyDescent="0.3">
      <c r="B20" s="54" t="s">
        <v>233</v>
      </c>
      <c r="C20" s="15" t="s">
        <v>10</v>
      </c>
      <c r="D20" s="22">
        <f t="shared" ca="1" si="0"/>
        <v>7.5</v>
      </c>
      <c r="E20" s="22">
        <f t="shared" ca="1" si="1"/>
        <v>2.7</v>
      </c>
      <c r="F20" s="124">
        <v>11</v>
      </c>
      <c r="J20" s="8"/>
      <c r="O20" s="8"/>
    </row>
    <row r="21" spans="2:15" ht="15.75" thickBot="1" x14ac:dyDescent="0.3">
      <c r="B21" s="54" t="s">
        <v>233</v>
      </c>
      <c r="C21" s="15" t="s">
        <v>12</v>
      </c>
      <c r="D21" s="22">
        <f t="shared" ca="1" si="0"/>
        <v>9.8000000000000007</v>
      </c>
      <c r="E21" s="22">
        <f t="shared" ca="1" si="1"/>
        <v>6.8</v>
      </c>
      <c r="F21" s="124">
        <v>12</v>
      </c>
      <c r="J21" s="8"/>
      <c r="O21" s="8"/>
    </row>
    <row r="22" spans="2:15" ht="15.75" thickBot="1" x14ac:dyDescent="0.3">
      <c r="B22" s="54" t="s">
        <v>233</v>
      </c>
      <c r="C22" s="15" t="s">
        <v>11</v>
      </c>
      <c r="D22" s="22">
        <f t="shared" ca="1" si="0"/>
        <v>8.1</v>
      </c>
      <c r="E22" s="22">
        <f t="shared" ca="1" si="1"/>
        <v>4.7</v>
      </c>
      <c r="F22" s="124">
        <v>13</v>
      </c>
      <c r="J22" s="8"/>
      <c r="O22" s="8"/>
    </row>
    <row r="23" spans="2:15" s="8" customFormat="1" ht="15.75" thickBot="1" x14ac:dyDescent="0.3">
      <c r="B23" s="54" t="s">
        <v>233</v>
      </c>
      <c r="C23" s="15" t="s">
        <v>19</v>
      </c>
      <c r="D23" s="22">
        <f t="shared" ca="1" si="0"/>
        <v>6</v>
      </c>
      <c r="E23" s="22">
        <f t="shared" ca="1" si="1"/>
        <v>7.1</v>
      </c>
      <c r="F23" s="124">
        <v>14</v>
      </c>
    </row>
    <row r="24" spans="2:15" ht="15.75" thickBot="1" x14ac:dyDescent="0.3">
      <c r="B24" s="55" t="s">
        <v>235</v>
      </c>
      <c r="C24" s="15" t="s">
        <v>13</v>
      </c>
      <c r="D24" s="22">
        <f t="shared" ca="1" si="0"/>
        <v>13.4</v>
      </c>
      <c r="E24" s="22">
        <f t="shared" ca="1" si="1"/>
        <v>5.4</v>
      </c>
      <c r="F24" s="124">
        <v>15</v>
      </c>
      <c r="J24" s="8"/>
      <c r="O24" s="8"/>
    </row>
    <row r="25" spans="2:15" ht="15.75" thickBot="1" x14ac:dyDescent="0.3">
      <c r="B25" s="55" t="s">
        <v>235</v>
      </c>
      <c r="C25" s="15" t="s">
        <v>15</v>
      </c>
      <c r="D25" s="22">
        <f t="shared" ca="1" si="0"/>
        <v>3.6</v>
      </c>
      <c r="E25" s="22">
        <f t="shared" ca="1" si="1"/>
        <v>1.7</v>
      </c>
      <c r="F25" s="124">
        <v>16</v>
      </c>
      <c r="J25" s="8"/>
      <c r="O25" s="8"/>
    </row>
    <row r="26" spans="2:15" ht="15.75" thickBot="1" x14ac:dyDescent="0.3">
      <c r="B26" s="55" t="s">
        <v>235</v>
      </c>
      <c r="C26" s="15" t="s">
        <v>16</v>
      </c>
      <c r="D26" s="22">
        <f t="shared" ca="1" si="0"/>
        <v>7.8</v>
      </c>
      <c r="E26" s="22">
        <f t="shared" ca="1" si="1"/>
        <v>6.1</v>
      </c>
      <c r="F26" s="124">
        <v>17</v>
      </c>
      <c r="J26" s="8"/>
      <c r="O26" s="8"/>
    </row>
    <row r="27" spans="2:15" ht="15.75" thickBot="1" x14ac:dyDescent="0.3">
      <c r="B27" s="55" t="s">
        <v>235</v>
      </c>
      <c r="C27" s="15" t="s">
        <v>17</v>
      </c>
      <c r="D27" s="22">
        <f t="shared" ca="1" si="0"/>
        <v>9</v>
      </c>
      <c r="E27" s="22">
        <f t="shared" ca="1" si="1"/>
        <v>7</v>
      </c>
      <c r="F27" s="124">
        <v>18</v>
      </c>
      <c r="J27" s="8"/>
      <c r="O27" s="8"/>
    </row>
    <row r="28" spans="2:15" ht="15.75" thickBot="1" x14ac:dyDescent="0.3">
      <c r="B28" s="55" t="s">
        <v>235</v>
      </c>
      <c r="C28" s="15" t="s">
        <v>187</v>
      </c>
      <c r="D28" s="22">
        <f t="shared" ca="1" si="0"/>
        <v>11.3</v>
      </c>
      <c r="E28" s="22">
        <f t="shared" ca="1" si="1"/>
        <v>10.5</v>
      </c>
      <c r="F28" s="124">
        <v>19</v>
      </c>
      <c r="J28" s="8"/>
      <c r="O28" s="8"/>
    </row>
    <row r="29" spans="2:15" ht="15.75" thickBot="1" x14ac:dyDescent="0.3">
      <c r="B29" s="55" t="s">
        <v>235</v>
      </c>
      <c r="C29" s="15" t="s">
        <v>18</v>
      </c>
      <c r="D29" s="22">
        <f t="shared" ca="1" si="0"/>
        <v>10.9</v>
      </c>
      <c r="E29" s="22">
        <f t="shared" ca="1" si="1"/>
        <v>5.4</v>
      </c>
      <c r="F29" s="124">
        <v>20</v>
      </c>
      <c r="J29" s="8"/>
      <c r="O29" s="8"/>
    </row>
    <row r="30" spans="2:15" ht="15.75" thickBot="1" x14ac:dyDescent="0.3">
      <c r="B30" s="56" t="s">
        <v>234</v>
      </c>
      <c r="C30" s="15" t="s">
        <v>20</v>
      </c>
      <c r="D30" s="22">
        <f t="shared" ca="1" si="0"/>
        <v>9.1</v>
      </c>
      <c r="E30" s="22">
        <f t="shared" ca="1" si="1"/>
        <v>6.8</v>
      </c>
      <c r="F30" s="124">
        <v>21</v>
      </c>
      <c r="J30" s="8"/>
      <c r="O30" s="8"/>
    </row>
    <row r="31" spans="2:15" ht="15.75" thickBot="1" x14ac:dyDescent="0.3">
      <c r="B31" s="56" t="s">
        <v>234</v>
      </c>
      <c r="C31" s="15" t="s">
        <v>21</v>
      </c>
      <c r="D31" s="22">
        <f t="shared" ca="1" si="0"/>
        <v>12.6</v>
      </c>
      <c r="E31" s="22">
        <f t="shared" ca="1" si="1"/>
        <v>6.3</v>
      </c>
      <c r="F31" s="124">
        <v>22</v>
      </c>
      <c r="J31" s="8"/>
      <c r="O31" s="8"/>
    </row>
    <row r="32" spans="2:15" ht="15.75" thickBot="1" x14ac:dyDescent="0.3">
      <c r="B32" s="56" t="s">
        <v>234</v>
      </c>
      <c r="C32" s="15" t="s">
        <v>22</v>
      </c>
      <c r="D32" s="22">
        <f t="shared" ca="1" si="0"/>
        <v>9.9</v>
      </c>
      <c r="E32" s="22">
        <f t="shared" ca="1" si="1"/>
        <v>8.4</v>
      </c>
      <c r="F32" s="124">
        <v>23</v>
      </c>
      <c r="J32" s="8"/>
      <c r="O32" s="8"/>
    </row>
    <row r="33" spans="2:15" ht="15.75" thickBot="1" x14ac:dyDescent="0.3">
      <c r="B33" s="56" t="s">
        <v>234</v>
      </c>
      <c r="C33" s="15" t="s">
        <v>23</v>
      </c>
      <c r="D33" s="22">
        <f t="shared" ca="1" si="0"/>
        <v>10.8</v>
      </c>
      <c r="E33" s="22">
        <f t="shared" ca="1" si="1"/>
        <v>7.7</v>
      </c>
      <c r="F33" s="124">
        <v>24</v>
      </c>
      <c r="J33" s="8"/>
      <c r="O33" s="8"/>
    </row>
    <row r="34" spans="2:15" ht="15.75" thickBot="1" x14ac:dyDescent="0.3">
      <c r="B34" s="56" t="s">
        <v>234</v>
      </c>
      <c r="C34" s="15" t="s">
        <v>24</v>
      </c>
      <c r="D34" s="22">
        <f t="shared" ca="1" si="0"/>
        <v>11.6</v>
      </c>
      <c r="E34" s="22">
        <f t="shared" ca="1" si="1"/>
        <v>8</v>
      </c>
      <c r="F34" s="124">
        <v>25</v>
      </c>
      <c r="J34" s="8"/>
      <c r="O34" s="8"/>
    </row>
    <row r="35" spans="2:15" ht="15.75" thickBot="1" x14ac:dyDescent="0.3">
      <c r="B35" s="56" t="s">
        <v>234</v>
      </c>
      <c r="C35" s="15" t="s">
        <v>25</v>
      </c>
      <c r="D35" s="22">
        <f t="shared" ca="1" si="0"/>
        <v>5.7</v>
      </c>
      <c r="E35" s="22">
        <f t="shared" ca="1" si="1"/>
        <v>4.4000000000000004</v>
      </c>
      <c r="F35" s="124">
        <v>26</v>
      </c>
      <c r="J35" s="8"/>
      <c r="O35" s="8"/>
    </row>
    <row r="36" spans="2:15" ht="15.75" thickBot="1" x14ac:dyDescent="0.3">
      <c r="B36" s="57" t="s">
        <v>236</v>
      </c>
      <c r="C36" s="15" t="s">
        <v>26</v>
      </c>
      <c r="D36" s="22">
        <f t="shared" ca="1" si="0"/>
        <v>7.8</v>
      </c>
      <c r="E36" s="22">
        <f t="shared" ca="1" si="1"/>
        <v>5.4</v>
      </c>
      <c r="F36" s="124">
        <v>27</v>
      </c>
      <c r="J36" s="8"/>
      <c r="O36" s="8"/>
    </row>
    <row r="37" spans="2:15" ht="15.75" thickBot="1" x14ac:dyDescent="0.3">
      <c r="B37" s="57" t="s">
        <v>236</v>
      </c>
      <c r="C37" s="15" t="s">
        <v>200</v>
      </c>
      <c r="D37" s="22">
        <f t="shared" ca="1" si="0"/>
        <v>4.9000000000000004</v>
      </c>
      <c r="E37" s="22">
        <f t="shared" ca="1" si="1"/>
        <v>8.6999999999999993</v>
      </c>
      <c r="F37" s="124">
        <v>28</v>
      </c>
      <c r="J37" s="8"/>
      <c r="O37" s="8"/>
    </row>
    <row r="38" spans="2:15" ht="15.75" thickBot="1" x14ac:dyDescent="0.3">
      <c r="B38" s="57" t="s">
        <v>236</v>
      </c>
      <c r="C38" s="15" t="s">
        <v>27</v>
      </c>
      <c r="D38" s="22">
        <f t="shared" ca="1" si="0"/>
        <v>13.6</v>
      </c>
      <c r="E38" s="22">
        <f t="shared" ca="1" si="1"/>
        <v>8.3000000000000007</v>
      </c>
      <c r="F38" s="124">
        <v>29</v>
      </c>
      <c r="J38" s="8"/>
      <c r="O38" s="8"/>
    </row>
    <row r="39" spans="2:15" ht="15.75" thickBot="1" x14ac:dyDescent="0.3">
      <c r="B39" s="57" t="s">
        <v>236</v>
      </c>
      <c r="C39" s="15" t="s">
        <v>28</v>
      </c>
      <c r="D39" s="22">
        <f t="shared" ca="1" si="0"/>
        <v>4.5</v>
      </c>
      <c r="E39" s="22">
        <f t="shared" ca="1" si="1"/>
        <v>6</v>
      </c>
      <c r="F39" s="124">
        <v>30</v>
      </c>
      <c r="J39" s="8"/>
      <c r="O39" s="8"/>
    </row>
    <row r="40" spans="2:15" ht="15.75" thickBot="1" x14ac:dyDescent="0.3">
      <c r="B40" s="57" t="s">
        <v>236</v>
      </c>
      <c r="C40" s="15" t="s">
        <v>29</v>
      </c>
      <c r="D40" s="22">
        <f t="shared" ca="1" si="0"/>
        <v>10.6</v>
      </c>
      <c r="E40" s="22">
        <f t="shared" ca="1" si="1"/>
        <v>6.4</v>
      </c>
      <c r="F40" s="124">
        <v>31</v>
      </c>
      <c r="J40" s="8"/>
      <c r="O40" s="8"/>
    </row>
    <row r="41" spans="2:15" ht="15.75" thickBot="1" x14ac:dyDescent="0.3">
      <c r="B41" s="57" t="s">
        <v>236</v>
      </c>
      <c r="C41" s="15" t="s">
        <v>30</v>
      </c>
      <c r="D41" s="22">
        <f t="shared" ca="1" si="0"/>
        <v>8.4</v>
      </c>
      <c r="E41" s="22">
        <f t="shared" ca="1" si="1"/>
        <v>7.2</v>
      </c>
      <c r="F41" s="124">
        <v>32</v>
      </c>
      <c r="J41" s="8"/>
      <c r="O41" s="8"/>
    </row>
    <row r="42" spans="2:15" ht="15.75" thickBot="1" x14ac:dyDescent="0.3">
      <c r="B42" s="57" t="s">
        <v>236</v>
      </c>
      <c r="C42" s="15" t="s">
        <v>31</v>
      </c>
      <c r="D42" s="22">
        <f t="shared" ca="1" si="0"/>
        <v>11.1</v>
      </c>
      <c r="E42" s="22">
        <f t="shared" ca="1" si="1"/>
        <v>9.4</v>
      </c>
      <c r="F42" s="124">
        <v>33</v>
      </c>
      <c r="J42" s="8"/>
      <c r="O42" s="8"/>
    </row>
    <row r="43" spans="2:15" ht="15.75" thickBot="1" x14ac:dyDescent="0.3">
      <c r="B43" s="57" t="s">
        <v>236</v>
      </c>
      <c r="C43" s="15" t="s">
        <v>32</v>
      </c>
      <c r="D43" s="22">
        <f t="shared" ca="1" si="0"/>
        <v>8.3000000000000007</v>
      </c>
      <c r="E43" s="22">
        <f t="shared" ca="1" si="1"/>
        <v>3.3</v>
      </c>
      <c r="F43" s="124">
        <v>34</v>
      </c>
      <c r="J43" s="8"/>
      <c r="O43" s="8"/>
    </row>
    <row r="44" spans="2:15" ht="15.75" thickBot="1" x14ac:dyDescent="0.3">
      <c r="B44" s="57" t="s">
        <v>236</v>
      </c>
      <c r="C44" s="15" t="s">
        <v>33</v>
      </c>
      <c r="D44" s="22">
        <f t="shared" ca="1" si="0"/>
        <v>10.9</v>
      </c>
      <c r="E44" s="22">
        <f t="shared" ca="1" si="1"/>
        <v>8.5</v>
      </c>
      <c r="F44" s="124">
        <v>35</v>
      </c>
      <c r="J44" s="8"/>
      <c r="O44" s="8"/>
    </row>
    <row r="45" spans="2:15" ht="15.75" thickBot="1" x14ac:dyDescent="0.3">
      <c r="B45" s="57" t="s">
        <v>236</v>
      </c>
      <c r="C45" s="15" t="s">
        <v>35</v>
      </c>
      <c r="D45" s="22">
        <f t="shared" ca="1" si="0"/>
        <v>3</v>
      </c>
      <c r="E45" s="22">
        <f t="shared" ca="1" si="1"/>
        <v>6.4</v>
      </c>
      <c r="F45" s="124">
        <v>36</v>
      </c>
      <c r="J45" s="8"/>
      <c r="O45" s="8"/>
    </row>
    <row r="46" spans="2:15" ht="15.75" thickBot="1" x14ac:dyDescent="0.3">
      <c r="B46" s="57" t="s">
        <v>236</v>
      </c>
      <c r="C46" s="15" t="s">
        <v>220</v>
      </c>
      <c r="D46" s="22">
        <f t="shared" ca="1" si="0"/>
        <v>16.3</v>
      </c>
      <c r="E46" s="22">
        <f t="shared" ca="1" si="1"/>
        <v>7</v>
      </c>
      <c r="F46" s="124">
        <v>37</v>
      </c>
      <c r="J46" s="8"/>
      <c r="O46" s="8"/>
    </row>
    <row r="47" spans="2:15" ht="15.75" thickBot="1" x14ac:dyDescent="0.3">
      <c r="B47" s="58" t="s">
        <v>236</v>
      </c>
      <c r="C47" s="47" t="s">
        <v>0</v>
      </c>
      <c r="D47" s="22">
        <f t="shared" ca="1" si="0"/>
        <v>10.5</v>
      </c>
      <c r="E47" s="22">
        <f t="shared" ca="1" si="1"/>
        <v>8.9</v>
      </c>
      <c r="F47" s="124">
        <v>38</v>
      </c>
      <c r="J47" s="8"/>
      <c r="O47" s="8"/>
    </row>
    <row r="48" spans="2:15" x14ac:dyDescent="0.25">
      <c r="J48" s="8"/>
      <c r="O48" s="8"/>
    </row>
    <row r="49" spans="2:15" ht="15.75" thickBot="1" x14ac:dyDescent="0.3">
      <c r="J49" s="8"/>
      <c r="O49" s="8"/>
    </row>
    <row r="50" spans="2:15" ht="18.75" x14ac:dyDescent="0.3">
      <c r="C50" s="188" t="s">
        <v>229</v>
      </c>
      <c r="D50" s="189"/>
      <c r="J50" s="8"/>
      <c r="O50" s="8"/>
    </row>
    <row r="51" spans="2:15" x14ac:dyDescent="0.25">
      <c r="C51" s="9"/>
      <c r="D51" s="22"/>
      <c r="J51" s="8"/>
      <c r="O51" s="8"/>
    </row>
    <row r="52" spans="2:15" ht="15.75" thickBot="1" x14ac:dyDescent="0.3">
      <c r="B52" s="43" t="s">
        <v>240</v>
      </c>
      <c r="C52" s="43" t="s">
        <v>221</v>
      </c>
      <c r="D52" s="49" t="s">
        <v>226</v>
      </c>
      <c r="O52" s="8"/>
    </row>
    <row r="53" spans="2:15" ht="15.75" thickBot="1" x14ac:dyDescent="0.3">
      <c r="B53" s="8" t="s">
        <v>236</v>
      </c>
      <c r="C53" s="15" t="s">
        <v>220</v>
      </c>
      <c r="D53" s="50">
        <f ca="1">$D$46</f>
        <v>16.3</v>
      </c>
      <c r="O53" s="8"/>
    </row>
    <row r="54" spans="2:15" ht="15.75" thickBot="1" x14ac:dyDescent="0.3">
      <c r="B54" s="8" t="s">
        <v>233</v>
      </c>
      <c r="C54" s="15" t="s">
        <v>5</v>
      </c>
      <c r="D54" s="50">
        <f ca="1">$D$16</f>
        <v>15.3</v>
      </c>
      <c r="O54" s="8"/>
    </row>
    <row r="55" spans="2:15" ht="15.75" thickBot="1" x14ac:dyDescent="0.3">
      <c r="B55" s="8" t="s">
        <v>233</v>
      </c>
      <c r="C55" s="15" t="s">
        <v>219</v>
      </c>
      <c r="D55" s="50">
        <f ca="1">$D$11</f>
        <v>14.3</v>
      </c>
      <c r="O55" s="8"/>
    </row>
    <row r="56" spans="2:15" ht="15.75" thickBot="1" x14ac:dyDescent="0.3">
      <c r="B56" s="8" t="s">
        <v>236</v>
      </c>
      <c r="C56" s="15" t="s">
        <v>27</v>
      </c>
      <c r="D56" s="50">
        <f ca="1">$D$38</f>
        <v>13.6</v>
      </c>
      <c r="O56" s="8"/>
    </row>
    <row r="57" spans="2:15" ht="15.75" thickBot="1" x14ac:dyDescent="0.3">
      <c r="B57" s="8" t="s">
        <v>235</v>
      </c>
      <c r="C57" s="15" t="s">
        <v>13</v>
      </c>
      <c r="D57" s="50">
        <f ca="1">$D$24</f>
        <v>13.4</v>
      </c>
      <c r="O57" s="8"/>
    </row>
    <row r="58" spans="2:15" ht="15.75" thickBot="1" x14ac:dyDescent="0.3">
      <c r="B58" s="8" t="s">
        <v>234</v>
      </c>
      <c r="C58" s="15" t="s">
        <v>21</v>
      </c>
      <c r="D58" s="50">
        <f ca="1">$D$31</f>
        <v>12.6</v>
      </c>
      <c r="O58" s="8"/>
    </row>
    <row r="59" spans="2:15" ht="15.75" thickBot="1" x14ac:dyDescent="0.3">
      <c r="B59" s="8" t="s">
        <v>233</v>
      </c>
      <c r="C59" s="15" t="s">
        <v>3</v>
      </c>
      <c r="D59" s="50">
        <f ca="1">$D$14</f>
        <v>12.4</v>
      </c>
      <c r="O59" s="8"/>
    </row>
    <row r="60" spans="2:15" ht="15.75" thickBot="1" x14ac:dyDescent="0.3">
      <c r="B60" s="8" t="s">
        <v>233</v>
      </c>
      <c r="C60" s="15" t="s">
        <v>1</v>
      </c>
      <c r="D60" s="50">
        <f ca="1">$D$12</f>
        <v>12.2</v>
      </c>
      <c r="O60" s="8"/>
    </row>
    <row r="61" spans="2:15" ht="15.75" thickBot="1" x14ac:dyDescent="0.3">
      <c r="B61" s="8" t="s">
        <v>233</v>
      </c>
      <c r="C61" s="15" t="s">
        <v>4</v>
      </c>
      <c r="D61" s="50">
        <f ca="1">$D$15</f>
        <v>11.9</v>
      </c>
      <c r="O61" s="8"/>
    </row>
    <row r="62" spans="2:15" ht="15.75" thickBot="1" x14ac:dyDescent="0.3">
      <c r="B62" s="8" t="s">
        <v>234</v>
      </c>
      <c r="C62" s="15" t="s">
        <v>24</v>
      </c>
      <c r="D62" s="50">
        <f ca="1">$D$34</f>
        <v>11.6</v>
      </c>
      <c r="O62" s="8"/>
    </row>
    <row r="63" spans="2:15" ht="15.75" thickBot="1" x14ac:dyDescent="0.3">
      <c r="B63" s="8" t="s">
        <v>235</v>
      </c>
      <c r="C63" s="15" t="s">
        <v>187</v>
      </c>
      <c r="D63" s="50">
        <f ca="1">$D$28</f>
        <v>11.3</v>
      </c>
      <c r="O63" s="8"/>
    </row>
    <row r="64" spans="2:15" ht="15.75" thickBot="1" x14ac:dyDescent="0.3">
      <c r="B64" s="8" t="s">
        <v>236</v>
      </c>
      <c r="C64" s="15" t="s">
        <v>31</v>
      </c>
      <c r="D64" s="50">
        <f ca="1">$D$42</f>
        <v>11.1</v>
      </c>
      <c r="O64" s="8"/>
    </row>
    <row r="65" spans="2:15" ht="15.75" thickBot="1" x14ac:dyDescent="0.3">
      <c r="B65" s="8" t="s">
        <v>235</v>
      </c>
      <c r="C65" s="15" t="s">
        <v>18</v>
      </c>
      <c r="D65" s="50">
        <f ca="1">$D$29</f>
        <v>10.9</v>
      </c>
      <c r="O65" s="8"/>
    </row>
    <row r="66" spans="2:15" ht="15.75" thickBot="1" x14ac:dyDescent="0.3">
      <c r="B66" s="8" t="s">
        <v>236</v>
      </c>
      <c r="C66" s="15" t="s">
        <v>33</v>
      </c>
      <c r="D66" s="50">
        <f ca="1">$D$44</f>
        <v>10.9</v>
      </c>
      <c r="O66" s="8"/>
    </row>
    <row r="67" spans="2:15" ht="15.75" thickBot="1" x14ac:dyDescent="0.3">
      <c r="B67" s="8" t="s">
        <v>234</v>
      </c>
      <c r="C67" s="38" t="s">
        <v>23</v>
      </c>
      <c r="D67" s="50">
        <f ca="1">$D$33</f>
        <v>10.8</v>
      </c>
    </row>
    <row r="68" spans="2:15" ht="15.75" thickBot="1" x14ac:dyDescent="0.3">
      <c r="B68" s="8" t="s">
        <v>233</v>
      </c>
      <c r="C68" s="15" t="s">
        <v>2</v>
      </c>
      <c r="D68" s="50">
        <f ca="1">$D$13</f>
        <v>10.8</v>
      </c>
    </row>
    <row r="69" spans="2:15" ht="15.75" thickBot="1" x14ac:dyDescent="0.3">
      <c r="B69" s="8" t="s">
        <v>236</v>
      </c>
      <c r="C69" s="15" t="s">
        <v>29</v>
      </c>
      <c r="D69" s="50">
        <f ca="1">$D$40</f>
        <v>10.6</v>
      </c>
    </row>
    <row r="70" spans="2:15" ht="15.75" thickBot="1" x14ac:dyDescent="0.3">
      <c r="B70" s="8" t="s">
        <v>236</v>
      </c>
      <c r="C70" s="15" t="s">
        <v>0</v>
      </c>
      <c r="D70" s="50">
        <f ca="1">$D$47</f>
        <v>10.5</v>
      </c>
    </row>
    <row r="71" spans="2:15" ht="15.75" thickBot="1" x14ac:dyDescent="0.3">
      <c r="B71" s="8" t="s">
        <v>234</v>
      </c>
      <c r="C71" s="15" t="s">
        <v>22</v>
      </c>
      <c r="D71" s="50">
        <f ca="1">$D$32</f>
        <v>9.9</v>
      </c>
    </row>
    <row r="72" spans="2:15" ht="15.75" thickBot="1" x14ac:dyDescent="0.3">
      <c r="B72" s="8" t="s">
        <v>233</v>
      </c>
      <c r="C72" s="15" t="s">
        <v>12</v>
      </c>
      <c r="D72" s="50">
        <f ca="1">$D$21</f>
        <v>9.8000000000000007</v>
      </c>
    </row>
    <row r="73" spans="2:15" ht="15.75" thickBot="1" x14ac:dyDescent="0.3">
      <c r="B73" s="8" t="s">
        <v>234</v>
      </c>
      <c r="C73" s="15" t="s">
        <v>20</v>
      </c>
      <c r="D73" s="50">
        <f ca="1">$D$30</f>
        <v>9.1</v>
      </c>
    </row>
    <row r="74" spans="2:15" ht="15.75" thickBot="1" x14ac:dyDescent="0.3">
      <c r="B74" s="8" t="s">
        <v>235</v>
      </c>
      <c r="C74" s="15" t="s">
        <v>17</v>
      </c>
      <c r="D74" s="50">
        <f ca="1">$D$27</f>
        <v>9</v>
      </c>
    </row>
    <row r="75" spans="2:15" ht="15.75" thickBot="1" x14ac:dyDescent="0.3">
      <c r="B75" s="8" t="s">
        <v>233</v>
      </c>
      <c r="C75" s="15" t="s">
        <v>9</v>
      </c>
      <c r="D75" s="50">
        <f ca="1">$D$19</f>
        <v>8.9</v>
      </c>
    </row>
    <row r="76" spans="2:15" ht="15.75" thickBot="1" x14ac:dyDescent="0.3">
      <c r="B76" s="8" t="s">
        <v>236</v>
      </c>
      <c r="C76" s="15" t="s">
        <v>30</v>
      </c>
      <c r="D76" s="50">
        <f ca="1">$D$41</f>
        <v>8.4</v>
      </c>
    </row>
    <row r="77" spans="2:15" ht="15.75" thickBot="1" x14ac:dyDescent="0.3">
      <c r="B77" s="8" t="s">
        <v>236</v>
      </c>
      <c r="C77" s="15" t="s">
        <v>32</v>
      </c>
      <c r="D77" s="50">
        <f ca="1">$D$43</f>
        <v>8.3000000000000007</v>
      </c>
    </row>
    <row r="78" spans="2:15" ht="15.75" thickBot="1" x14ac:dyDescent="0.3">
      <c r="B78" s="8" t="s">
        <v>233</v>
      </c>
      <c r="C78" s="15" t="s">
        <v>11</v>
      </c>
      <c r="D78" s="50">
        <f ca="1">$D$22</f>
        <v>8.1</v>
      </c>
    </row>
    <row r="79" spans="2:15" ht="15.75" thickBot="1" x14ac:dyDescent="0.3">
      <c r="B79" s="8" t="s">
        <v>233</v>
      </c>
      <c r="C79" s="15" t="s">
        <v>8</v>
      </c>
      <c r="D79" s="50">
        <f ca="1">$D$18</f>
        <v>7.8</v>
      </c>
    </row>
    <row r="80" spans="2:15" ht="15.75" thickBot="1" x14ac:dyDescent="0.3">
      <c r="B80" s="8" t="s">
        <v>235</v>
      </c>
      <c r="C80" s="15" t="s">
        <v>16</v>
      </c>
      <c r="D80" s="50">
        <f ca="1">$D$26</f>
        <v>7.8</v>
      </c>
    </row>
    <row r="81" spans="2:5" ht="15.75" thickBot="1" x14ac:dyDescent="0.3">
      <c r="B81" s="8" t="s">
        <v>236</v>
      </c>
      <c r="C81" s="15" t="s">
        <v>26</v>
      </c>
      <c r="D81" s="50">
        <f ca="1">$D$36</f>
        <v>7.8</v>
      </c>
    </row>
    <row r="82" spans="2:5" ht="15.75" thickBot="1" x14ac:dyDescent="0.3">
      <c r="B82" s="8" t="s">
        <v>233</v>
      </c>
      <c r="C82" s="15" t="s">
        <v>10</v>
      </c>
      <c r="D82" s="50">
        <f ca="1">$D$20</f>
        <v>7.5</v>
      </c>
    </row>
    <row r="83" spans="2:5" ht="15.75" thickBot="1" x14ac:dyDescent="0.3">
      <c r="B83" s="8" t="s">
        <v>233</v>
      </c>
      <c r="C83" s="15" t="s">
        <v>19</v>
      </c>
      <c r="D83" s="50">
        <f ca="1">$D$23</f>
        <v>6</v>
      </c>
    </row>
    <row r="84" spans="2:5" ht="15.75" thickBot="1" x14ac:dyDescent="0.3">
      <c r="B84" s="8" t="s">
        <v>234</v>
      </c>
      <c r="C84" s="15" t="s">
        <v>25</v>
      </c>
      <c r="D84" s="50">
        <f ca="1">$D$35</f>
        <v>5.7</v>
      </c>
    </row>
    <row r="85" spans="2:5" ht="15.75" thickBot="1" x14ac:dyDescent="0.3">
      <c r="B85" s="8" t="s">
        <v>233</v>
      </c>
      <c r="C85" s="15" t="s">
        <v>7</v>
      </c>
      <c r="D85" s="50">
        <f ca="1">$D$17</f>
        <v>5.5</v>
      </c>
    </row>
    <row r="86" spans="2:5" ht="15.75" thickBot="1" x14ac:dyDescent="0.3">
      <c r="B86" s="8" t="s">
        <v>236</v>
      </c>
      <c r="C86" s="15" t="s">
        <v>200</v>
      </c>
      <c r="D86" s="50">
        <f ca="1">$D$37</f>
        <v>4.9000000000000004</v>
      </c>
    </row>
    <row r="87" spans="2:5" ht="15.75" thickBot="1" x14ac:dyDescent="0.3">
      <c r="B87" s="8" t="s">
        <v>236</v>
      </c>
      <c r="C87" s="15" t="s">
        <v>28</v>
      </c>
      <c r="D87" s="50">
        <f ca="1">$D$39</f>
        <v>4.5</v>
      </c>
    </row>
    <row r="88" spans="2:5" ht="15.75" thickBot="1" x14ac:dyDescent="0.3">
      <c r="B88" s="8" t="s">
        <v>235</v>
      </c>
      <c r="C88" s="15" t="s">
        <v>15</v>
      </c>
      <c r="D88" s="50">
        <f ca="1">$D$25</f>
        <v>3.6</v>
      </c>
    </row>
    <row r="89" spans="2:5" ht="15.75" thickBot="1" x14ac:dyDescent="0.3">
      <c r="B89" s="8" t="s">
        <v>236</v>
      </c>
      <c r="C89" s="47" t="s">
        <v>35</v>
      </c>
      <c r="D89" s="51">
        <f ca="1">$D$45</f>
        <v>3</v>
      </c>
    </row>
    <row r="93" spans="2:5" ht="15.75" thickBot="1" x14ac:dyDescent="0.3"/>
    <row r="94" spans="2:5" ht="18.75" x14ac:dyDescent="0.3">
      <c r="C94" s="188" t="s">
        <v>230</v>
      </c>
      <c r="D94" s="190"/>
      <c r="E94" s="189"/>
    </row>
    <row r="95" spans="2:5" ht="33.75" customHeight="1" thickBot="1" x14ac:dyDescent="0.3">
      <c r="B95" s="43" t="s">
        <v>240</v>
      </c>
      <c r="C95" s="43" t="s">
        <v>221</v>
      </c>
      <c r="D95" s="97" t="s">
        <v>226</v>
      </c>
      <c r="E95" s="98" t="s">
        <v>231</v>
      </c>
    </row>
    <row r="96" spans="2:5" ht="15.75" thickBot="1" x14ac:dyDescent="0.3">
      <c r="C96" s="15" t="str">
        <f>C53</f>
        <v>Energy Efficiency</v>
      </c>
      <c r="D96" s="42"/>
      <c r="E96" s="22"/>
    </row>
    <row r="97" spans="2:5" ht="15.75" thickBot="1" x14ac:dyDescent="0.3">
      <c r="C97" s="15" t="str">
        <f t="shared" ref="C97:D132" si="2">C54</f>
        <v>Energy prices &amp; volatility</v>
      </c>
      <c r="D97" s="42"/>
      <c r="E97" s="22"/>
    </row>
    <row r="98" spans="2:5" ht="15.75" thickBot="1" x14ac:dyDescent="0.3">
      <c r="C98" s="15" t="str">
        <f t="shared" si="2"/>
        <v>Global Recesion</v>
      </c>
      <c r="D98" s="42"/>
      <c r="E98" s="22"/>
    </row>
    <row r="99" spans="2:5" ht="15.75" thickBot="1" x14ac:dyDescent="0.3">
      <c r="C99" s="15" t="str">
        <f t="shared" si="2"/>
        <v>Renewable energy</v>
      </c>
      <c r="D99" s="42"/>
      <c r="E99" s="22"/>
    </row>
    <row r="100" spans="2:5" ht="15.75" thickBot="1" x14ac:dyDescent="0.3">
      <c r="C100" s="15" t="str">
        <f t="shared" si="2"/>
        <v>India growth</v>
      </c>
      <c r="D100" s="42"/>
      <c r="E100" s="22"/>
    </row>
    <row r="101" spans="2:5" ht="15.75" thickBot="1" x14ac:dyDescent="0.3">
      <c r="B101" s="8" t="str">
        <f t="shared" ref="B101:B127" si="3">B58</f>
        <v>Business environment</v>
      </c>
      <c r="C101" s="15" t="str">
        <f t="shared" si="2"/>
        <v>Regional interconnection</v>
      </c>
      <c r="D101" s="42">
        <f t="shared" ca="1" si="2"/>
        <v>12.6</v>
      </c>
      <c r="E101" s="46">
        <f ca="1">D101/$D$134</f>
        <v>1</v>
      </c>
    </row>
    <row r="102" spans="2:5" ht="15.75" thickBot="1" x14ac:dyDescent="0.3">
      <c r="B102" s="8" t="str">
        <f t="shared" si="3"/>
        <v>Macroeconomic</v>
      </c>
      <c r="C102" s="15" t="str">
        <f t="shared" si="2"/>
        <v>Capital market constraints</v>
      </c>
      <c r="D102" s="42">
        <f t="shared" ref="D102:D127" ca="1" si="4">D59</f>
        <v>12.4</v>
      </c>
      <c r="E102" s="46">
        <f t="shared" ref="E102:E127" ca="1" si="5">D102/$D$134</f>
        <v>0.98412698412698418</v>
      </c>
    </row>
    <row r="103" spans="2:5" ht="15.75" thickBot="1" x14ac:dyDescent="0.3">
      <c r="B103" s="8" t="str">
        <f t="shared" si="3"/>
        <v>Macroeconomic</v>
      </c>
      <c r="C103" s="15" t="str">
        <f t="shared" si="2"/>
        <v>Global climate framework uncertainty</v>
      </c>
      <c r="D103" s="42">
        <f t="shared" ca="1" si="4"/>
        <v>12.2</v>
      </c>
      <c r="E103" s="46">
        <f t="shared" ca="1" si="5"/>
        <v>0.96825396825396826</v>
      </c>
    </row>
    <row r="104" spans="2:5" ht="15.75" thickBot="1" x14ac:dyDescent="0.3">
      <c r="B104" s="8" t="str">
        <f t="shared" si="3"/>
        <v>Macroeconomic</v>
      </c>
      <c r="C104" s="15" t="str">
        <f t="shared" si="2"/>
        <v>Commodity prices &amp; volatility</v>
      </c>
      <c r="D104" s="42">
        <f t="shared" ca="1" si="4"/>
        <v>11.9</v>
      </c>
      <c r="E104" s="46">
        <f t="shared" ca="1" si="5"/>
        <v>0.94444444444444453</v>
      </c>
    </row>
    <row r="105" spans="2:5" ht="15.75" thickBot="1" x14ac:dyDescent="0.3">
      <c r="B105" s="8" t="str">
        <f t="shared" si="3"/>
        <v>Business environment</v>
      </c>
      <c r="C105" s="15" t="str">
        <f t="shared" si="2"/>
        <v>Energy subsidies</v>
      </c>
      <c r="D105" s="42">
        <f t="shared" ca="1" si="4"/>
        <v>11.6</v>
      </c>
      <c r="E105" s="46">
        <f t="shared" ca="1" si="5"/>
        <v>0.92063492063492058</v>
      </c>
    </row>
    <row r="106" spans="2:5" ht="15.75" thickBot="1" x14ac:dyDescent="0.3">
      <c r="B106" s="8" t="str">
        <f t="shared" si="3"/>
        <v>Geopolitics &amp; regional</v>
      </c>
      <c r="C106" s="15" t="str">
        <f t="shared" si="2"/>
        <v>Middle East / North Africa fragility</v>
      </c>
      <c r="D106" s="42">
        <f t="shared" ca="1" si="4"/>
        <v>11.3</v>
      </c>
      <c r="E106" s="46">
        <f t="shared" ca="1" si="5"/>
        <v>0.89682539682539686</v>
      </c>
    </row>
    <row r="107" spans="2:5" ht="15.75" thickBot="1" x14ac:dyDescent="0.3">
      <c r="B107" s="8" t="str">
        <f t="shared" si="3"/>
        <v>Vision &amp; technology</v>
      </c>
      <c r="C107" s="15" t="str">
        <f t="shared" si="2"/>
        <v>Electricity storage</v>
      </c>
      <c r="D107" s="42">
        <f t="shared" ca="1" si="4"/>
        <v>11.1</v>
      </c>
      <c r="E107" s="46">
        <f t="shared" ca="1" si="5"/>
        <v>0.88095238095238093</v>
      </c>
    </row>
    <row r="108" spans="2:5" ht="15.75" thickBot="1" x14ac:dyDescent="0.3">
      <c r="B108" s="8" t="str">
        <f t="shared" si="3"/>
        <v>Geopolitics &amp; regional</v>
      </c>
      <c r="C108" s="15" t="str">
        <f t="shared" si="2"/>
        <v>US trade and policy influencing global energy markets</v>
      </c>
      <c r="D108" s="42">
        <f t="shared" ca="1" si="4"/>
        <v>10.9</v>
      </c>
      <c r="E108" s="46">
        <f t="shared" ca="1" si="5"/>
        <v>0.86507936507936511</v>
      </c>
    </row>
    <row r="109" spans="2:5" ht="15.75" thickBot="1" x14ac:dyDescent="0.3">
      <c r="B109" s="8" t="str">
        <f t="shared" si="3"/>
        <v>Vision &amp; technology</v>
      </c>
      <c r="C109" s="15" t="str">
        <f t="shared" si="2"/>
        <v>Unconventional fossil fuels</v>
      </c>
      <c r="D109" s="42">
        <f t="shared" ca="1" si="4"/>
        <v>10.9</v>
      </c>
      <c r="E109" s="46">
        <f t="shared" ca="1" si="5"/>
        <v>0.86507936507936511</v>
      </c>
    </row>
    <row r="110" spans="2:5" ht="15.75" thickBot="1" x14ac:dyDescent="0.3">
      <c r="B110" s="8" t="str">
        <f t="shared" si="3"/>
        <v>Business environment</v>
      </c>
      <c r="C110" s="15" t="str">
        <f t="shared" si="2"/>
        <v>Innovative market design &amp; policies</v>
      </c>
      <c r="D110" s="42">
        <f t="shared" ca="1" si="4"/>
        <v>10.8</v>
      </c>
      <c r="E110" s="46">
        <f t="shared" ca="1" si="5"/>
        <v>0.85714285714285721</v>
      </c>
    </row>
    <row r="111" spans="2:5" ht="15.75" thickBot="1" x14ac:dyDescent="0.3">
      <c r="B111" s="8" t="str">
        <f t="shared" si="3"/>
        <v>Macroeconomic</v>
      </c>
      <c r="C111" s="15" t="str">
        <f t="shared" si="2"/>
        <v>Large scale accidents</v>
      </c>
      <c r="D111" s="42">
        <f t="shared" ca="1" si="4"/>
        <v>10.8</v>
      </c>
      <c r="E111" s="46">
        <f t="shared" ca="1" si="5"/>
        <v>0.85714285714285721</v>
      </c>
    </row>
    <row r="112" spans="2:5" ht="15.75" thickBot="1" x14ac:dyDescent="0.3">
      <c r="B112" s="8" t="str">
        <f t="shared" si="3"/>
        <v>Vision &amp; technology</v>
      </c>
      <c r="C112" s="15" t="str">
        <f t="shared" si="2"/>
        <v>Smart grids</v>
      </c>
      <c r="D112" s="42">
        <f t="shared" ca="1" si="4"/>
        <v>10.6</v>
      </c>
      <c r="E112" s="46">
        <f t="shared" ca="1" si="5"/>
        <v>0.84126984126984128</v>
      </c>
    </row>
    <row r="113" spans="2:5" ht="15.75" thickBot="1" x14ac:dyDescent="0.3">
      <c r="B113" s="8" t="str">
        <f t="shared" si="3"/>
        <v>Vision &amp; technology</v>
      </c>
      <c r="C113" s="15" t="str">
        <f t="shared" si="2"/>
        <v>Nuclear energy</v>
      </c>
      <c r="D113" s="42">
        <f t="shared" ca="1" si="4"/>
        <v>10.5</v>
      </c>
      <c r="E113" s="46">
        <f t="shared" ca="1" si="5"/>
        <v>0.83333333333333337</v>
      </c>
    </row>
    <row r="114" spans="2:5" ht="15.75" thickBot="1" x14ac:dyDescent="0.3">
      <c r="B114" s="8" t="str">
        <f t="shared" si="3"/>
        <v>Business environment</v>
      </c>
      <c r="C114" s="15" t="str">
        <f t="shared" si="2"/>
        <v>Business cycle</v>
      </c>
      <c r="D114" s="42">
        <f t="shared" ca="1" si="4"/>
        <v>9.9</v>
      </c>
      <c r="E114" s="46">
        <f t="shared" ca="1" si="5"/>
        <v>0.78571428571428581</v>
      </c>
    </row>
    <row r="115" spans="2:5" ht="15.75" thickBot="1" x14ac:dyDescent="0.3">
      <c r="B115" s="8" t="str">
        <f t="shared" si="3"/>
        <v>Macroeconomic</v>
      </c>
      <c r="C115" s="15" t="str">
        <f t="shared" si="2"/>
        <v xml:space="preserve">Energy affordability </v>
      </c>
      <c r="D115" s="42">
        <f t="shared" ca="1" si="4"/>
        <v>9.8000000000000007</v>
      </c>
      <c r="E115" s="46">
        <f t="shared" ca="1" si="5"/>
        <v>0.7777777777777779</v>
      </c>
    </row>
    <row r="116" spans="2:5" ht="15.75" thickBot="1" x14ac:dyDescent="0.3">
      <c r="B116" s="8" t="str">
        <f t="shared" si="3"/>
        <v>Business environment</v>
      </c>
      <c r="C116" s="15" t="str">
        <f t="shared" si="2"/>
        <v>Trade barriers</v>
      </c>
      <c r="D116" s="42">
        <f t="shared" ca="1" si="4"/>
        <v>9.1</v>
      </c>
      <c r="E116" s="46">
        <f t="shared" ca="1" si="5"/>
        <v>0.72222222222222221</v>
      </c>
    </row>
    <row r="117" spans="2:5" ht="15.75" thickBot="1" x14ac:dyDescent="0.3">
      <c r="B117" s="8" t="str">
        <f t="shared" si="3"/>
        <v>Geopolitics &amp; regional</v>
      </c>
      <c r="C117" s="15" t="str">
        <f t="shared" si="2"/>
        <v>EU cohesion</v>
      </c>
      <c r="D117" s="42">
        <f t="shared" ca="1" si="4"/>
        <v>9</v>
      </c>
      <c r="E117" s="46">
        <f t="shared" ca="1" si="5"/>
        <v>0.7142857142857143</v>
      </c>
    </row>
    <row r="118" spans="2:5" ht="15.75" thickBot="1" x14ac:dyDescent="0.3">
      <c r="B118" s="8" t="str">
        <f t="shared" si="3"/>
        <v>Macroeconomic</v>
      </c>
      <c r="C118" s="15" t="str">
        <f t="shared" si="2"/>
        <v>Talent scarcity</v>
      </c>
      <c r="D118" s="42">
        <f t="shared" ca="1" si="4"/>
        <v>8.9</v>
      </c>
      <c r="E118" s="46">
        <f t="shared" ca="1" si="5"/>
        <v>0.70634920634920639</v>
      </c>
    </row>
    <row r="119" spans="2:5" ht="15.75" thickBot="1" x14ac:dyDescent="0.3">
      <c r="B119" s="8" t="str">
        <f t="shared" si="3"/>
        <v>Vision &amp; technology</v>
      </c>
      <c r="C119" s="15" t="str">
        <f t="shared" si="2"/>
        <v>Future mobility</v>
      </c>
      <c r="D119" s="42">
        <f t="shared" ca="1" si="4"/>
        <v>8.4</v>
      </c>
      <c r="E119" s="46">
        <f t="shared" ca="1" si="5"/>
        <v>0.66666666666666674</v>
      </c>
    </row>
    <row r="120" spans="2:5" ht="15.75" thickBot="1" x14ac:dyDescent="0.3">
      <c r="B120" s="8" t="str">
        <f t="shared" si="3"/>
        <v>Vision &amp; technology</v>
      </c>
      <c r="C120" s="15" t="str">
        <f t="shared" si="2"/>
        <v>Hydro power</v>
      </c>
      <c r="D120" s="42">
        <f t="shared" ca="1" si="4"/>
        <v>8.3000000000000007</v>
      </c>
      <c r="E120" s="46">
        <f t="shared" ca="1" si="5"/>
        <v>0.65873015873015883</v>
      </c>
    </row>
    <row r="121" spans="2:5" ht="15.75" thickBot="1" x14ac:dyDescent="0.3">
      <c r="B121" s="8" t="str">
        <f t="shared" si="3"/>
        <v>Macroeconomic</v>
      </c>
      <c r="C121" s="15" t="str">
        <f t="shared" si="2"/>
        <v>Corruption</v>
      </c>
      <c r="D121" s="42">
        <f t="shared" ca="1" si="4"/>
        <v>8.1</v>
      </c>
      <c r="E121" s="46">
        <f t="shared" ca="1" si="5"/>
        <v>0.64285714285714279</v>
      </c>
    </row>
    <row r="122" spans="2:5" ht="15.75" thickBot="1" x14ac:dyDescent="0.3">
      <c r="B122" s="8" t="str">
        <f t="shared" si="3"/>
        <v>Macroeconomic</v>
      </c>
      <c r="C122" s="15" t="str">
        <f t="shared" si="2"/>
        <v>Energy water food nexus</v>
      </c>
      <c r="D122" s="42">
        <f t="shared" ca="1" si="4"/>
        <v>7.8</v>
      </c>
      <c r="E122" s="46">
        <f t="shared" ca="1" si="5"/>
        <v>0.61904761904761907</v>
      </c>
    </row>
    <row r="123" spans="2:5" ht="15.75" thickBot="1" x14ac:dyDescent="0.3">
      <c r="B123" s="8" t="str">
        <f t="shared" si="3"/>
        <v>Geopolitics &amp; regional</v>
      </c>
      <c r="C123" s="15" t="str">
        <f t="shared" si="2"/>
        <v>Russia energy diplomacy</v>
      </c>
      <c r="D123" s="42">
        <f t="shared" ca="1" si="4"/>
        <v>7.8</v>
      </c>
      <c r="E123" s="46">
        <f t="shared" ca="1" si="5"/>
        <v>0.61904761904761907</v>
      </c>
    </row>
    <row r="124" spans="2:5" ht="15.75" thickBot="1" x14ac:dyDescent="0.3">
      <c r="B124" s="8" t="str">
        <f t="shared" si="3"/>
        <v>Vision &amp; technology</v>
      </c>
      <c r="C124" s="15" t="str">
        <f t="shared" si="2"/>
        <v>Sustainable cities</v>
      </c>
      <c r="D124" s="42">
        <f t="shared" ca="1" si="4"/>
        <v>7.8</v>
      </c>
      <c r="E124" s="46">
        <f t="shared" ca="1" si="5"/>
        <v>0.61904761904761907</v>
      </c>
    </row>
    <row r="125" spans="2:5" ht="15.75" thickBot="1" x14ac:dyDescent="0.3">
      <c r="B125" s="8" t="str">
        <f t="shared" si="3"/>
        <v>Macroeconomic</v>
      </c>
      <c r="C125" s="15" t="str">
        <f t="shared" si="2"/>
        <v>Energy poverty</v>
      </c>
      <c r="D125" s="42">
        <f t="shared" ca="1" si="4"/>
        <v>7.5</v>
      </c>
      <c r="E125" s="46">
        <f t="shared" ca="1" si="5"/>
        <v>0.59523809523809523</v>
      </c>
    </row>
    <row r="126" spans="2:5" ht="15.75" thickBot="1" x14ac:dyDescent="0.3">
      <c r="B126" s="8" t="str">
        <f t="shared" si="3"/>
        <v>Macroeconomic</v>
      </c>
      <c r="C126" s="15" t="str">
        <f t="shared" si="2"/>
        <v>Terrorism</v>
      </c>
      <c r="D126" s="42">
        <f t="shared" ca="1" si="4"/>
        <v>6</v>
      </c>
      <c r="E126" s="46">
        <f t="shared" ca="1" si="5"/>
        <v>0.47619047619047622</v>
      </c>
    </row>
    <row r="127" spans="2:5" ht="15.75" thickBot="1" x14ac:dyDescent="0.3">
      <c r="B127" s="8" t="str">
        <f t="shared" si="3"/>
        <v>Business environment</v>
      </c>
      <c r="C127" s="15" t="str">
        <f t="shared" si="2"/>
        <v>New market players</v>
      </c>
      <c r="D127" s="42">
        <f t="shared" ca="1" si="4"/>
        <v>5.7</v>
      </c>
      <c r="E127" s="46">
        <f t="shared" ca="1" si="5"/>
        <v>0.45238095238095238</v>
      </c>
    </row>
    <row r="128" spans="2:5" ht="15.75" thickBot="1" x14ac:dyDescent="0.3">
      <c r="C128" s="15" t="str">
        <f t="shared" si="2"/>
        <v>Currency uncertainty</v>
      </c>
      <c r="D128" s="42"/>
      <c r="E128" s="46"/>
    </row>
    <row r="129" spans="2:5" ht="15.75" thickBot="1" x14ac:dyDescent="0.3">
      <c r="C129" s="15" t="str">
        <f t="shared" si="2"/>
        <v>Carbon capture, utilisation &amp; storage (CCUS)</v>
      </c>
      <c r="D129" s="42"/>
      <c r="E129" s="46"/>
    </row>
    <row r="130" spans="2:5" ht="15.75" thickBot="1" x14ac:dyDescent="0.3">
      <c r="C130" s="15" t="str">
        <f t="shared" si="2"/>
        <v>Biofuels</v>
      </c>
      <c r="D130" s="42"/>
      <c r="E130" s="46"/>
    </row>
    <row r="131" spans="2:5" ht="15.75" thickBot="1" x14ac:dyDescent="0.3">
      <c r="C131" s="15" t="str">
        <f t="shared" si="2"/>
        <v>Brazil growth</v>
      </c>
      <c r="D131" s="42"/>
      <c r="E131" s="46"/>
    </row>
    <row r="132" spans="2:5" ht="15.75" thickBot="1" x14ac:dyDescent="0.3">
      <c r="C132" s="47" t="str">
        <f t="shared" si="2"/>
        <v>Hydrogen economy</v>
      </c>
      <c r="D132" s="59"/>
      <c r="E132" s="48"/>
    </row>
    <row r="133" spans="2:5" ht="15.75" thickBot="1" x14ac:dyDescent="0.3"/>
    <row r="134" spans="2:5" ht="15.75" thickBot="1" x14ac:dyDescent="0.3">
      <c r="C134" s="47" t="s">
        <v>227</v>
      </c>
      <c r="D134" s="41">
        <f ca="1">MAX(D101:D127)</f>
        <v>12.6</v>
      </c>
    </row>
    <row r="136" spans="2:5" ht="15.75" thickBot="1" x14ac:dyDescent="0.3"/>
    <row r="137" spans="2:5" s="8" customFormat="1" ht="18.75" x14ac:dyDescent="0.3">
      <c r="C137" s="188" t="s">
        <v>232</v>
      </c>
      <c r="D137" s="190"/>
      <c r="E137" s="189"/>
    </row>
    <row r="138" spans="2:5" ht="30.75" thickBot="1" x14ac:dyDescent="0.3">
      <c r="B138" s="43" t="s">
        <v>240</v>
      </c>
      <c r="C138" s="97" t="s">
        <v>221</v>
      </c>
      <c r="D138" s="97" t="s">
        <v>226</v>
      </c>
      <c r="E138" s="98" t="s">
        <v>237</v>
      </c>
    </row>
    <row r="139" spans="2:5" ht="15.75" thickBot="1" x14ac:dyDescent="0.3">
      <c r="B139" s="8" t="str">
        <f>B53</f>
        <v>Vision &amp; technology</v>
      </c>
      <c r="C139" s="15" t="s">
        <v>220</v>
      </c>
      <c r="D139" s="14">
        <v>16.3</v>
      </c>
      <c r="E139" s="46">
        <f>D139/$D$145</f>
        <v>1</v>
      </c>
    </row>
    <row r="140" spans="2:5" ht="15.75" thickBot="1" x14ac:dyDescent="0.3">
      <c r="B140" s="8" t="str">
        <f>B54</f>
        <v>Macroeconomic</v>
      </c>
      <c r="C140" s="15" t="s">
        <v>5</v>
      </c>
      <c r="D140" s="14">
        <v>15.3</v>
      </c>
      <c r="E140" s="46">
        <f>D140/$D$145</f>
        <v>0.93865030674846628</v>
      </c>
    </row>
    <row r="141" spans="2:5" ht="15.75" thickBot="1" x14ac:dyDescent="0.3">
      <c r="B141" s="8" t="str">
        <f>B55</f>
        <v>Macroeconomic</v>
      </c>
      <c r="C141" s="15" t="s">
        <v>219</v>
      </c>
      <c r="D141" s="14">
        <v>14.3</v>
      </c>
      <c r="E141" s="46">
        <f>D141/$D$145</f>
        <v>0.87730061349693256</v>
      </c>
    </row>
    <row r="142" spans="2:5" ht="15.75" thickBot="1" x14ac:dyDescent="0.3">
      <c r="B142" s="8" t="str">
        <f>B56</f>
        <v>Vision &amp; technology</v>
      </c>
      <c r="C142" s="15" t="s">
        <v>27</v>
      </c>
      <c r="D142" s="14">
        <v>13.6</v>
      </c>
      <c r="E142" s="46">
        <f>D142/$D$145</f>
        <v>0.83435582822085885</v>
      </c>
    </row>
    <row r="143" spans="2:5" ht="15.75" thickBot="1" x14ac:dyDescent="0.3">
      <c r="B143" s="8" t="str">
        <f>B57</f>
        <v>Geopolitics &amp; regional</v>
      </c>
      <c r="C143" s="47" t="s">
        <v>13</v>
      </c>
      <c r="D143" s="30">
        <v>13.4</v>
      </c>
      <c r="E143" s="48">
        <f>D143/$D$145</f>
        <v>0.82208588957055218</v>
      </c>
    </row>
    <row r="144" spans="2:5" ht="15.75" thickBot="1" x14ac:dyDescent="0.3"/>
    <row r="145" spans="2:5" ht="15.75" thickBot="1" x14ac:dyDescent="0.3">
      <c r="C145" s="47" t="s">
        <v>227</v>
      </c>
      <c r="D145" s="41">
        <f>MAX(D139:D143)</f>
        <v>16.3</v>
      </c>
    </row>
    <row r="148" spans="2:5" ht="15.75" thickBot="1" x14ac:dyDescent="0.3"/>
    <row r="149" spans="2:5" ht="18.75" x14ac:dyDescent="0.3">
      <c r="C149" s="188" t="s">
        <v>238</v>
      </c>
      <c r="D149" s="190"/>
      <c r="E149" s="189"/>
    </row>
    <row r="150" spans="2:5" s="8" customFormat="1" ht="30.75" thickBot="1" x14ac:dyDescent="0.3">
      <c r="B150" s="60" t="s">
        <v>240</v>
      </c>
      <c r="C150" s="60" t="s">
        <v>221</v>
      </c>
      <c r="D150" s="44" t="s">
        <v>226</v>
      </c>
      <c r="E150" s="45" t="s">
        <v>239</v>
      </c>
    </row>
    <row r="151" spans="2:5" ht="15.75" thickBot="1" x14ac:dyDescent="0.3">
      <c r="B151" s="8" t="str">
        <f>B85</f>
        <v>Macroeconomic</v>
      </c>
      <c r="C151" s="15" t="s">
        <v>7</v>
      </c>
      <c r="D151" s="14">
        <v>5.5</v>
      </c>
      <c r="E151" s="46">
        <f>D151/$D$157</f>
        <v>1</v>
      </c>
    </row>
    <row r="152" spans="2:5" ht="15.75" thickBot="1" x14ac:dyDescent="0.3">
      <c r="B152" s="8" t="str">
        <f>B86</f>
        <v>Vision &amp; technology</v>
      </c>
      <c r="C152" s="15" t="s">
        <v>200</v>
      </c>
      <c r="D152" s="14">
        <v>4.9000000000000004</v>
      </c>
      <c r="E152" s="46">
        <f>D152/$D$157</f>
        <v>0.89090909090909098</v>
      </c>
    </row>
    <row r="153" spans="2:5" ht="15.75" thickBot="1" x14ac:dyDescent="0.3">
      <c r="B153" s="8" t="str">
        <f>B87</f>
        <v>Vision &amp; technology</v>
      </c>
      <c r="C153" s="15" t="s">
        <v>28</v>
      </c>
      <c r="D153" s="14">
        <v>4.5</v>
      </c>
      <c r="E153" s="46">
        <f>D153/$D$157</f>
        <v>0.81818181818181823</v>
      </c>
    </row>
    <row r="154" spans="2:5" ht="15.75" thickBot="1" x14ac:dyDescent="0.3">
      <c r="B154" s="8" t="str">
        <f>B88</f>
        <v>Geopolitics &amp; regional</v>
      </c>
      <c r="C154" s="15" t="s">
        <v>15</v>
      </c>
      <c r="D154" s="14">
        <v>3.6</v>
      </c>
      <c r="E154" s="46">
        <f>D154/$D$157</f>
        <v>0.65454545454545454</v>
      </c>
    </row>
    <row r="155" spans="2:5" ht="15.75" thickBot="1" x14ac:dyDescent="0.3">
      <c r="B155" s="8" t="str">
        <f>B89</f>
        <v>Vision &amp; technology</v>
      </c>
      <c r="C155" s="15" t="s">
        <v>35</v>
      </c>
      <c r="D155" s="30">
        <v>3</v>
      </c>
      <c r="E155" s="48">
        <f>D155/$D$157</f>
        <v>0.54545454545454541</v>
      </c>
    </row>
    <row r="156" spans="2:5" ht="15.75" thickBot="1" x14ac:dyDescent="0.3"/>
    <row r="157" spans="2:5" ht="15.75" thickBot="1" x14ac:dyDescent="0.3">
      <c r="C157" s="47" t="s">
        <v>227</v>
      </c>
      <c r="D157" s="41">
        <f>MAX(D151:D155)</f>
        <v>5.5</v>
      </c>
    </row>
    <row r="161" spans="2:4" ht="15.75" thickBot="1" x14ac:dyDescent="0.3"/>
    <row r="162" spans="2:4" ht="18.75" x14ac:dyDescent="0.3">
      <c r="C162" s="188" t="s">
        <v>402</v>
      </c>
      <c r="D162" s="189"/>
    </row>
    <row r="163" spans="2:4" ht="15.75" thickBot="1" x14ac:dyDescent="0.3">
      <c r="C163" s="43" t="s">
        <v>221</v>
      </c>
      <c r="D163" s="99" t="s">
        <v>401</v>
      </c>
    </row>
    <row r="164" spans="2:4" ht="15.75" thickBot="1" x14ac:dyDescent="0.3">
      <c r="B164" s="8" t="s">
        <v>233</v>
      </c>
      <c r="C164" s="15" t="s">
        <v>1</v>
      </c>
      <c r="D164" s="22">
        <f ca="1">$E$12</f>
        <v>11.6</v>
      </c>
    </row>
    <row r="165" spans="2:4" ht="15.75" thickBot="1" x14ac:dyDescent="0.3">
      <c r="B165" s="8" t="s">
        <v>233</v>
      </c>
      <c r="C165" s="15" t="s">
        <v>5</v>
      </c>
      <c r="D165" s="22">
        <f ca="1">$E$16</f>
        <v>11.4</v>
      </c>
    </row>
    <row r="166" spans="2:4" ht="15.75" thickBot="1" x14ac:dyDescent="0.3">
      <c r="B166" s="8" t="s">
        <v>235</v>
      </c>
      <c r="C166" s="15" t="s">
        <v>187</v>
      </c>
      <c r="D166" s="22">
        <f ca="1">$E$28</f>
        <v>10.5</v>
      </c>
    </row>
    <row r="167" spans="2:4" ht="15.75" thickBot="1" x14ac:dyDescent="0.3">
      <c r="B167" s="8" t="s">
        <v>233</v>
      </c>
      <c r="C167" s="15" t="s">
        <v>219</v>
      </c>
      <c r="D167" s="22">
        <f ca="1">$E$11</f>
        <v>10.1</v>
      </c>
    </row>
    <row r="168" spans="2:4" ht="15.75" thickBot="1" x14ac:dyDescent="0.3">
      <c r="B168" s="8" t="s">
        <v>236</v>
      </c>
      <c r="C168" s="15" t="s">
        <v>31</v>
      </c>
      <c r="D168" s="22">
        <f ca="1">$E$42</f>
        <v>9.4</v>
      </c>
    </row>
    <row r="169" spans="2:4" ht="15.75" thickBot="1" x14ac:dyDescent="0.3">
      <c r="B169" s="8" t="s">
        <v>233</v>
      </c>
      <c r="C169" s="15" t="s">
        <v>4</v>
      </c>
      <c r="D169" s="22">
        <f ca="1">$E$15</f>
        <v>9</v>
      </c>
    </row>
    <row r="170" spans="2:4" ht="15.75" thickBot="1" x14ac:dyDescent="0.3">
      <c r="B170" s="8" t="s">
        <v>236</v>
      </c>
      <c r="C170" s="15" t="s">
        <v>0</v>
      </c>
      <c r="D170" s="22">
        <f ca="1">$E$47</f>
        <v>8.9</v>
      </c>
    </row>
    <row r="171" spans="2:4" ht="15.75" thickBot="1" x14ac:dyDescent="0.3">
      <c r="B171" s="8" t="s">
        <v>233</v>
      </c>
      <c r="C171" s="15" t="s">
        <v>3</v>
      </c>
      <c r="D171" s="22">
        <f ca="1">$E$14</f>
        <v>8.8000000000000007</v>
      </c>
    </row>
    <row r="172" spans="2:4" ht="15.75" thickBot="1" x14ac:dyDescent="0.3">
      <c r="B172" s="8" t="s">
        <v>236</v>
      </c>
      <c r="C172" s="15" t="s">
        <v>200</v>
      </c>
      <c r="D172" s="22">
        <f ca="1">$E$37</f>
        <v>8.6999999999999993</v>
      </c>
    </row>
    <row r="173" spans="2:4" ht="15.75" thickBot="1" x14ac:dyDescent="0.3">
      <c r="B173" s="8" t="s">
        <v>236</v>
      </c>
      <c r="C173" s="15" t="s">
        <v>33</v>
      </c>
      <c r="D173" s="22">
        <f ca="1">$E$44</f>
        <v>8.5</v>
      </c>
    </row>
    <row r="174" spans="2:4" ht="15.75" thickBot="1" x14ac:dyDescent="0.3">
      <c r="B174" s="8" t="s">
        <v>234</v>
      </c>
      <c r="C174" s="15" t="s">
        <v>22</v>
      </c>
      <c r="D174" s="22">
        <f ca="1">$E$32</f>
        <v>8.4</v>
      </c>
    </row>
    <row r="175" spans="2:4" ht="15.75" thickBot="1" x14ac:dyDescent="0.3">
      <c r="B175" s="8" t="s">
        <v>236</v>
      </c>
      <c r="C175" s="15" t="s">
        <v>30</v>
      </c>
      <c r="D175" s="22">
        <f ca="1">$E$41</f>
        <v>7.2</v>
      </c>
    </row>
    <row r="176" spans="2:4" ht="15.75" thickBot="1" x14ac:dyDescent="0.3">
      <c r="B176" s="8" t="s">
        <v>236</v>
      </c>
      <c r="C176" s="15" t="s">
        <v>27</v>
      </c>
      <c r="D176" s="22">
        <f ca="1">$E$38</f>
        <v>8.3000000000000007</v>
      </c>
    </row>
    <row r="177" spans="2:4" ht="15.75" thickBot="1" x14ac:dyDescent="0.3">
      <c r="B177" s="8" t="s">
        <v>234</v>
      </c>
      <c r="C177" s="15" t="s">
        <v>24</v>
      </c>
      <c r="D177" s="22">
        <f ca="1">$E$34</f>
        <v>8</v>
      </c>
    </row>
    <row r="178" spans="2:4" ht="15.75" thickBot="1" x14ac:dyDescent="0.3">
      <c r="B178" s="8" t="s">
        <v>234</v>
      </c>
      <c r="C178" s="15" t="s">
        <v>23</v>
      </c>
      <c r="D178" s="22">
        <f ca="1">$E$33</f>
        <v>7.7</v>
      </c>
    </row>
    <row r="179" spans="2:4" ht="15.75" thickBot="1" x14ac:dyDescent="0.3">
      <c r="B179" s="8" t="s">
        <v>233</v>
      </c>
      <c r="C179" s="15" t="s">
        <v>2</v>
      </c>
      <c r="D179" s="22">
        <f ca="1">$E$13</f>
        <v>7.1</v>
      </c>
    </row>
    <row r="180" spans="2:4" ht="15.75" thickBot="1" x14ac:dyDescent="0.3">
      <c r="B180" s="8" t="s">
        <v>233</v>
      </c>
      <c r="C180" s="15" t="s">
        <v>19</v>
      </c>
      <c r="D180" s="22">
        <f ca="1">$E$23</f>
        <v>7.1</v>
      </c>
    </row>
    <row r="181" spans="2:4" ht="15.75" thickBot="1" x14ac:dyDescent="0.3">
      <c r="B181" s="8" t="s">
        <v>235</v>
      </c>
      <c r="C181" s="15" t="s">
        <v>17</v>
      </c>
      <c r="D181" s="22">
        <f ca="1">$E$27</f>
        <v>7</v>
      </c>
    </row>
    <row r="182" spans="2:4" ht="15.75" thickBot="1" x14ac:dyDescent="0.3">
      <c r="B182" s="8" t="s">
        <v>236</v>
      </c>
      <c r="C182" s="15" t="s">
        <v>220</v>
      </c>
      <c r="D182" s="22">
        <f ca="1">$E$46</f>
        <v>7</v>
      </c>
    </row>
    <row r="183" spans="2:4" ht="15.75" thickBot="1" x14ac:dyDescent="0.3">
      <c r="B183" s="8" t="s">
        <v>233</v>
      </c>
      <c r="C183" s="15" t="s">
        <v>12</v>
      </c>
      <c r="D183" s="22">
        <f ca="1">$E$21</f>
        <v>6.8</v>
      </c>
    </row>
    <row r="184" spans="2:4" ht="15.75" thickBot="1" x14ac:dyDescent="0.3">
      <c r="B184" s="8" t="s">
        <v>234</v>
      </c>
      <c r="C184" s="15" t="s">
        <v>20</v>
      </c>
      <c r="D184" s="22">
        <f ca="1">$E$30</f>
        <v>6.8</v>
      </c>
    </row>
    <row r="185" spans="2:4" ht="15.75" thickBot="1" x14ac:dyDescent="0.3">
      <c r="B185" s="8" t="s">
        <v>236</v>
      </c>
      <c r="C185" s="15" t="s">
        <v>29</v>
      </c>
      <c r="D185" s="22">
        <f ca="1">$E$40</f>
        <v>6.4</v>
      </c>
    </row>
    <row r="186" spans="2:4" ht="15.75" thickBot="1" x14ac:dyDescent="0.3">
      <c r="B186" s="8" t="s">
        <v>236</v>
      </c>
      <c r="C186" s="15" t="s">
        <v>35</v>
      </c>
      <c r="D186" s="22">
        <f ca="1">$E$45</f>
        <v>6.4</v>
      </c>
    </row>
    <row r="187" spans="2:4" ht="15.75" thickBot="1" x14ac:dyDescent="0.3">
      <c r="B187" s="8" t="s">
        <v>234</v>
      </c>
      <c r="C187" s="15" t="s">
        <v>21</v>
      </c>
      <c r="D187" s="22">
        <f ca="1">$E$31</f>
        <v>6.3</v>
      </c>
    </row>
    <row r="188" spans="2:4" ht="15.75" thickBot="1" x14ac:dyDescent="0.3">
      <c r="B188" s="8" t="s">
        <v>235</v>
      </c>
      <c r="C188" s="15" t="s">
        <v>16</v>
      </c>
      <c r="D188" s="22">
        <f ca="1">$E$26</f>
        <v>6.1</v>
      </c>
    </row>
    <row r="189" spans="2:4" ht="15.75" thickBot="1" x14ac:dyDescent="0.3">
      <c r="B189" s="8" t="s">
        <v>236</v>
      </c>
      <c r="C189" s="15" t="s">
        <v>28</v>
      </c>
      <c r="D189" s="22">
        <f ca="1">$E$39</f>
        <v>6</v>
      </c>
    </row>
    <row r="190" spans="2:4" ht="15.75" thickBot="1" x14ac:dyDescent="0.3">
      <c r="B190" s="8" t="s">
        <v>233</v>
      </c>
      <c r="C190" s="15" t="s">
        <v>7</v>
      </c>
      <c r="D190" s="22">
        <f ca="1">$E$17</f>
        <v>5.4</v>
      </c>
    </row>
    <row r="191" spans="2:4" ht="15.75" thickBot="1" x14ac:dyDescent="0.3">
      <c r="B191" s="8" t="s">
        <v>235</v>
      </c>
      <c r="C191" s="15" t="s">
        <v>13</v>
      </c>
      <c r="D191" s="22">
        <f ca="1">$E$24</f>
        <v>5.4</v>
      </c>
    </row>
    <row r="192" spans="2:4" ht="15.75" thickBot="1" x14ac:dyDescent="0.3">
      <c r="B192" s="8" t="s">
        <v>235</v>
      </c>
      <c r="C192" s="15" t="s">
        <v>18</v>
      </c>
      <c r="D192" s="22">
        <f ca="1">$E$29</f>
        <v>5.4</v>
      </c>
    </row>
    <row r="193" spans="2:5" ht="15.75" thickBot="1" x14ac:dyDescent="0.3">
      <c r="B193" s="8" t="s">
        <v>236</v>
      </c>
      <c r="C193" s="15" t="s">
        <v>26</v>
      </c>
      <c r="D193" s="22">
        <f ca="1">$E$36</f>
        <v>5.4</v>
      </c>
    </row>
    <row r="194" spans="2:5" ht="15.75" thickBot="1" x14ac:dyDescent="0.3">
      <c r="B194" s="8" t="s">
        <v>233</v>
      </c>
      <c r="C194" s="15" t="s">
        <v>8</v>
      </c>
      <c r="D194" s="22">
        <f ca="1">$E$18</f>
        <v>4.7</v>
      </c>
    </row>
    <row r="195" spans="2:5" ht="15.75" thickBot="1" x14ac:dyDescent="0.3">
      <c r="B195" s="8" t="s">
        <v>233</v>
      </c>
      <c r="C195" s="15" t="s">
        <v>11</v>
      </c>
      <c r="D195" s="22">
        <f ca="1">$E$22</f>
        <v>4.7</v>
      </c>
    </row>
    <row r="196" spans="2:5" ht="15.75" thickBot="1" x14ac:dyDescent="0.3">
      <c r="B196" s="8" t="s">
        <v>234</v>
      </c>
      <c r="C196" s="15" t="s">
        <v>25</v>
      </c>
      <c r="D196" s="22">
        <f ca="1">$E$35</f>
        <v>4.4000000000000004</v>
      </c>
    </row>
    <row r="197" spans="2:5" ht="15.75" thickBot="1" x14ac:dyDescent="0.3">
      <c r="B197" s="8" t="s">
        <v>233</v>
      </c>
      <c r="C197" s="38" t="s">
        <v>9</v>
      </c>
      <c r="D197" s="22">
        <f ca="1">$E$19</f>
        <v>3.7</v>
      </c>
    </row>
    <row r="198" spans="2:5" ht="15.75" thickBot="1" x14ac:dyDescent="0.3">
      <c r="B198" s="8" t="s">
        <v>236</v>
      </c>
      <c r="C198" s="15" t="s">
        <v>32</v>
      </c>
      <c r="D198" s="22">
        <f ca="1">$E$43</f>
        <v>3.3</v>
      </c>
    </row>
    <row r="199" spans="2:5" ht="15.75" thickBot="1" x14ac:dyDescent="0.3">
      <c r="B199" s="8" t="s">
        <v>233</v>
      </c>
      <c r="C199" s="15" t="s">
        <v>10</v>
      </c>
      <c r="D199" s="22">
        <f ca="1">$E$20</f>
        <v>2.7</v>
      </c>
    </row>
    <row r="200" spans="2:5" ht="15.75" thickBot="1" x14ac:dyDescent="0.3">
      <c r="B200" s="8" t="s">
        <v>235</v>
      </c>
      <c r="C200" s="47" t="s">
        <v>15</v>
      </c>
      <c r="D200" s="18">
        <f ca="1">$E$25</f>
        <v>1.7</v>
      </c>
    </row>
    <row r="205" spans="2:5" ht="15.75" thickBot="1" x14ac:dyDescent="0.3"/>
    <row r="206" spans="2:5" ht="18.75" x14ac:dyDescent="0.3">
      <c r="C206" s="188" t="s">
        <v>403</v>
      </c>
      <c r="D206" s="190"/>
      <c r="E206" s="189"/>
    </row>
    <row r="207" spans="2:5" ht="30.75" thickBot="1" x14ac:dyDescent="0.3">
      <c r="B207" s="60" t="s">
        <v>240</v>
      </c>
      <c r="C207" s="60" t="s">
        <v>221</v>
      </c>
      <c r="D207" s="44" t="s">
        <v>401</v>
      </c>
      <c r="E207" s="45" t="s">
        <v>404</v>
      </c>
    </row>
    <row r="208" spans="2:5" ht="15.75" thickBot="1" x14ac:dyDescent="0.3">
      <c r="B208" s="8" t="str">
        <f>B164</f>
        <v>Macroeconomic</v>
      </c>
      <c r="C208" s="15" t="str">
        <f>C164</f>
        <v>Global climate framework uncertainty</v>
      </c>
      <c r="D208" s="14"/>
      <c r="E208" s="22"/>
    </row>
    <row r="209" spans="2:5" ht="15.75" thickBot="1" x14ac:dyDescent="0.3">
      <c r="B209" s="8" t="str">
        <f t="shared" ref="B209:B244" si="6">B165</f>
        <v>Macroeconomic</v>
      </c>
      <c r="C209" s="15" t="str">
        <f t="shared" ref="C209:D244" si="7">C165</f>
        <v>Energy prices &amp; volatility</v>
      </c>
      <c r="D209" s="14"/>
      <c r="E209" s="22"/>
    </row>
    <row r="210" spans="2:5" ht="15.75" thickBot="1" x14ac:dyDescent="0.3">
      <c r="B210" s="8" t="str">
        <f t="shared" si="6"/>
        <v>Geopolitics &amp; regional</v>
      </c>
      <c r="C210" s="15" t="str">
        <f t="shared" si="7"/>
        <v>Middle East / North Africa fragility</v>
      </c>
      <c r="D210" s="14"/>
      <c r="E210" s="22"/>
    </row>
    <row r="211" spans="2:5" ht="15.75" thickBot="1" x14ac:dyDescent="0.3">
      <c r="B211" s="8" t="str">
        <f t="shared" si="6"/>
        <v>Macroeconomic</v>
      </c>
      <c r="C211" s="15" t="str">
        <f t="shared" si="7"/>
        <v>Global Recesion</v>
      </c>
      <c r="D211" s="14"/>
      <c r="E211" s="22"/>
    </row>
    <row r="212" spans="2:5" ht="15.75" thickBot="1" x14ac:dyDescent="0.3">
      <c r="B212" s="8" t="str">
        <f t="shared" si="6"/>
        <v>Vision &amp; technology</v>
      </c>
      <c r="C212" s="15" t="str">
        <f t="shared" si="7"/>
        <v>Electricity storage</v>
      </c>
      <c r="D212" s="14"/>
      <c r="E212" s="22"/>
    </row>
    <row r="213" spans="2:5" ht="15.75" thickBot="1" x14ac:dyDescent="0.3">
      <c r="B213" s="8" t="str">
        <f t="shared" si="6"/>
        <v>Macroeconomic</v>
      </c>
      <c r="C213" s="15" t="str">
        <f t="shared" si="7"/>
        <v>Commodity prices &amp; volatility</v>
      </c>
      <c r="D213" s="14">
        <f ca="1">D169</f>
        <v>9</v>
      </c>
      <c r="E213" s="46">
        <f ca="1">D213/$D$246</f>
        <v>1</v>
      </c>
    </row>
    <row r="214" spans="2:5" ht="15.75" thickBot="1" x14ac:dyDescent="0.3">
      <c r="B214" s="8" t="str">
        <f t="shared" si="6"/>
        <v>Vision &amp; technology</v>
      </c>
      <c r="C214" s="15" t="str">
        <f t="shared" si="7"/>
        <v>Nuclear energy</v>
      </c>
      <c r="D214" s="14">
        <f t="shared" ca="1" si="7"/>
        <v>8.9</v>
      </c>
      <c r="E214" s="46">
        <f t="shared" ref="E214:E239" ca="1" si="8">D214/$D$246</f>
        <v>0.98888888888888893</v>
      </c>
    </row>
    <row r="215" spans="2:5" ht="15.75" thickBot="1" x14ac:dyDescent="0.3">
      <c r="B215" s="8" t="str">
        <f t="shared" si="6"/>
        <v>Macroeconomic</v>
      </c>
      <c r="C215" s="15" t="str">
        <f t="shared" si="7"/>
        <v>Capital market constraints</v>
      </c>
      <c r="D215" s="14">
        <f t="shared" ca="1" si="7"/>
        <v>8.8000000000000007</v>
      </c>
      <c r="E215" s="46">
        <f t="shared" ca="1" si="8"/>
        <v>0.97777777777777786</v>
      </c>
    </row>
    <row r="216" spans="2:5" ht="15.75" thickBot="1" x14ac:dyDescent="0.3">
      <c r="B216" s="8" t="str">
        <f t="shared" si="6"/>
        <v>Vision &amp; technology</v>
      </c>
      <c r="C216" s="15" t="str">
        <f t="shared" si="7"/>
        <v>Carbon capture, utilisation &amp; storage (CCUS)</v>
      </c>
      <c r="D216" s="14">
        <f t="shared" ca="1" si="7"/>
        <v>8.6999999999999993</v>
      </c>
      <c r="E216" s="46">
        <f t="shared" ca="1" si="8"/>
        <v>0.96666666666666656</v>
      </c>
    </row>
    <row r="217" spans="2:5" ht="15.75" thickBot="1" x14ac:dyDescent="0.3">
      <c r="B217" s="8" t="str">
        <f t="shared" si="6"/>
        <v>Vision &amp; technology</v>
      </c>
      <c r="C217" s="15" t="str">
        <f t="shared" si="7"/>
        <v>Unconventional fossil fuels</v>
      </c>
      <c r="D217" s="14">
        <f t="shared" ca="1" si="7"/>
        <v>8.5</v>
      </c>
      <c r="E217" s="46">
        <f t="shared" ca="1" si="8"/>
        <v>0.94444444444444442</v>
      </c>
    </row>
    <row r="218" spans="2:5" ht="15.75" thickBot="1" x14ac:dyDescent="0.3">
      <c r="B218" s="8" t="str">
        <f t="shared" si="6"/>
        <v>Business environment</v>
      </c>
      <c r="C218" s="15" t="str">
        <f t="shared" si="7"/>
        <v>Business cycle</v>
      </c>
      <c r="D218" s="14">
        <f t="shared" ca="1" si="7"/>
        <v>8.4</v>
      </c>
      <c r="E218" s="46">
        <f t="shared" ca="1" si="8"/>
        <v>0.93333333333333335</v>
      </c>
    </row>
    <row r="219" spans="2:5" ht="15.75" thickBot="1" x14ac:dyDescent="0.3">
      <c r="B219" s="8" t="str">
        <f t="shared" si="6"/>
        <v>Vision &amp; technology</v>
      </c>
      <c r="C219" s="15" t="str">
        <f t="shared" si="7"/>
        <v>Future mobility</v>
      </c>
      <c r="D219" s="14">
        <f t="shared" ca="1" si="7"/>
        <v>7.2</v>
      </c>
      <c r="E219" s="46">
        <f t="shared" ca="1" si="8"/>
        <v>0.8</v>
      </c>
    </row>
    <row r="220" spans="2:5" ht="15.75" thickBot="1" x14ac:dyDescent="0.3">
      <c r="B220" s="8" t="str">
        <f t="shared" si="6"/>
        <v>Vision &amp; technology</v>
      </c>
      <c r="C220" s="15" t="str">
        <f t="shared" si="7"/>
        <v>Renewable energy</v>
      </c>
      <c r="D220" s="14">
        <f t="shared" ca="1" si="7"/>
        <v>8.3000000000000007</v>
      </c>
      <c r="E220" s="46">
        <f t="shared" ca="1" si="8"/>
        <v>0.92222222222222228</v>
      </c>
    </row>
    <row r="221" spans="2:5" ht="15.75" thickBot="1" x14ac:dyDescent="0.3">
      <c r="B221" s="8" t="str">
        <f t="shared" si="6"/>
        <v>Business environment</v>
      </c>
      <c r="C221" s="15" t="str">
        <f t="shared" si="7"/>
        <v>Energy subsidies</v>
      </c>
      <c r="D221" s="14">
        <f t="shared" ca="1" si="7"/>
        <v>8</v>
      </c>
      <c r="E221" s="46">
        <f t="shared" ca="1" si="8"/>
        <v>0.88888888888888884</v>
      </c>
    </row>
    <row r="222" spans="2:5" ht="15.75" thickBot="1" x14ac:dyDescent="0.3">
      <c r="B222" s="8" t="str">
        <f t="shared" si="6"/>
        <v>Business environment</v>
      </c>
      <c r="C222" s="15" t="str">
        <f t="shared" si="7"/>
        <v>Innovative market design &amp; policies</v>
      </c>
      <c r="D222" s="14">
        <f t="shared" ca="1" si="7"/>
        <v>7.7</v>
      </c>
      <c r="E222" s="46">
        <f t="shared" ca="1" si="8"/>
        <v>0.85555555555555562</v>
      </c>
    </row>
    <row r="223" spans="2:5" ht="15.75" thickBot="1" x14ac:dyDescent="0.3">
      <c r="B223" s="8" t="str">
        <f t="shared" si="6"/>
        <v>Macroeconomic</v>
      </c>
      <c r="C223" s="15" t="str">
        <f t="shared" si="7"/>
        <v>Large scale accidents</v>
      </c>
      <c r="D223" s="14">
        <f t="shared" ca="1" si="7"/>
        <v>7.1</v>
      </c>
      <c r="E223" s="46">
        <f t="shared" ca="1" si="8"/>
        <v>0.78888888888888886</v>
      </c>
    </row>
    <row r="224" spans="2:5" ht="15.75" thickBot="1" x14ac:dyDescent="0.3">
      <c r="B224" s="8" t="str">
        <f t="shared" si="6"/>
        <v>Macroeconomic</v>
      </c>
      <c r="C224" s="15" t="str">
        <f t="shared" si="7"/>
        <v>Terrorism</v>
      </c>
      <c r="D224" s="14">
        <f t="shared" ca="1" si="7"/>
        <v>7.1</v>
      </c>
      <c r="E224" s="46">
        <f t="shared" ca="1" si="8"/>
        <v>0.78888888888888886</v>
      </c>
    </row>
    <row r="225" spans="2:5" ht="15.75" thickBot="1" x14ac:dyDescent="0.3">
      <c r="B225" s="8" t="str">
        <f t="shared" si="6"/>
        <v>Geopolitics &amp; regional</v>
      </c>
      <c r="C225" s="15" t="str">
        <f t="shared" si="7"/>
        <v>EU cohesion</v>
      </c>
      <c r="D225" s="14">
        <f t="shared" ca="1" si="7"/>
        <v>7</v>
      </c>
      <c r="E225" s="46">
        <f t="shared" ca="1" si="8"/>
        <v>0.77777777777777779</v>
      </c>
    </row>
    <row r="226" spans="2:5" ht="15.75" thickBot="1" x14ac:dyDescent="0.3">
      <c r="B226" s="8" t="str">
        <f t="shared" si="6"/>
        <v>Vision &amp; technology</v>
      </c>
      <c r="C226" s="15" t="str">
        <f t="shared" si="7"/>
        <v>Energy Efficiency</v>
      </c>
      <c r="D226" s="14">
        <f t="shared" ca="1" si="7"/>
        <v>7</v>
      </c>
      <c r="E226" s="46">
        <f t="shared" ca="1" si="8"/>
        <v>0.77777777777777779</v>
      </c>
    </row>
    <row r="227" spans="2:5" ht="15.75" thickBot="1" x14ac:dyDescent="0.3">
      <c r="B227" s="8" t="str">
        <f t="shared" si="6"/>
        <v>Macroeconomic</v>
      </c>
      <c r="C227" s="15" t="str">
        <f t="shared" si="7"/>
        <v xml:space="preserve">Energy affordability </v>
      </c>
      <c r="D227" s="14">
        <f t="shared" ca="1" si="7"/>
        <v>6.8</v>
      </c>
      <c r="E227" s="46">
        <f t="shared" ca="1" si="8"/>
        <v>0.75555555555555554</v>
      </c>
    </row>
    <row r="228" spans="2:5" ht="15.75" thickBot="1" x14ac:dyDescent="0.3">
      <c r="B228" s="8" t="str">
        <f t="shared" si="6"/>
        <v>Business environment</v>
      </c>
      <c r="C228" s="15" t="str">
        <f t="shared" si="7"/>
        <v>Trade barriers</v>
      </c>
      <c r="D228" s="14">
        <f t="shared" ca="1" si="7"/>
        <v>6.8</v>
      </c>
      <c r="E228" s="46">
        <f t="shared" ca="1" si="8"/>
        <v>0.75555555555555554</v>
      </c>
    </row>
    <row r="229" spans="2:5" ht="15.75" thickBot="1" x14ac:dyDescent="0.3">
      <c r="B229" s="8" t="str">
        <f t="shared" si="6"/>
        <v>Vision &amp; technology</v>
      </c>
      <c r="C229" s="15" t="str">
        <f t="shared" si="7"/>
        <v>Smart grids</v>
      </c>
      <c r="D229" s="14">
        <f t="shared" ca="1" si="7"/>
        <v>6.4</v>
      </c>
      <c r="E229" s="46">
        <f t="shared" ca="1" si="8"/>
        <v>0.71111111111111114</v>
      </c>
    </row>
    <row r="230" spans="2:5" ht="15.75" thickBot="1" x14ac:dyDescent="0.3">
      <c r="B230" s="8" t="str">
        <f t="shared" si="6"/>
        <v>Vision &amp; technology</v>
      </c>
      <c r="C230" s="15" t="str">
        <f t="shared" si="7"/>
        <v>Hydrogen economy</v>
      </c>
      <c r="D230" s="14">
        <f t="shared" ca="1" si="7"/>
        <v>6.4</v>
      </c>
      <c r="E230" s="46">
        <f t="shared" ca="1" si="8"/>
        <v>0.71111111111111114</v>
      </c>
    </row>
    <row r="231" spans="2:5" ht="15.75" thickBot="1" x14ac:dyDescent="0.3">
      <c r="B231" s="8" t="str">
        <f t="shared" si="6"/>
        <v>Business environment</v>
      </c>
      <c r="C231" s="15" t="str">
        <f t="shared" si="7"/>
        <v>Regional interconnection</v>
      </c>
      <c r="D231" s="14">
        <f t="shared" ca="1" si="7"/>
        <v>6.3</v>
      </c>
      <c r="E231" s="46">
        <f t="shared" ca="1" si="8"/>
        <v>0.7</v>
      </c>
    </row>
    <row r="232" spans="2:5" ht="15.75" thickBot="1" x14ac:dyDescent="0.3">
      <c r="B232" s="8" t="str">
        <f t="shared" si="6"/>
        <v>Geopolitics &amp; regional</v>
      </c>
      <c r="C232" s="15" t="str">
        <f t="shared" si="7"/>
        <v>Russia energy diplomacy</v>
      </c>
      <c r="D232" s="14">
        <f t="shared" ca="1" si="7"/>
        <v>6.1</v>
      </c>
      <c r="E232" s="46">
        <f t="shared" ca="1" si="8"/>
        <v>0.6777777777777777</v>
      </c>
    </row>
    <row r="233" spans="2:5" ht="15.75" thickBot="1" x14ac:dyDescent="0.3">
      <c r="B233" s="8" t="str">
        <f t="shared" si="6"/>
        <v>Vision &amp; technology</v>
      </c>
      <c r="C233" s="15" t="str">
        <f t="shared" si="7"/>
        <v>Biofuels</v>
      </c>
      <c r="D233" s="14">
        <f t="shared" ca="1" si="7"/>
        <v>6</v>
      </c>
      <c r="E233" s="46">
        <f t="shared" ca="1" si="8"/>
        <v>0.66666666666666663</v>
      </c>
    </row>
    <row r="234" spans="2:5" ht="15.75" thickBot="1" x14ac:dyDescent="0.3">
      <c r="B234" s="8" t="str">
        <f t="shared" si="6"/>
        <v>Macroeconomic</v>
      </c>
      <c r="C234" s="15" t="str">
        <f t="shared" si="7"/>
        <v>Currency uncertainty</v>
      </c>
      <c r="D234" s="14">
        <f t="shared" ca="1" si="7"/>
        <v>5.4</v>
      </c>
      <c r="E234" s="46">
        <f t="shared" ca="1" si="8"/>
        <v>0.60000000000000009</v>
      </c>
    </row>
    <row r="235" spans="2:5" ht="15.75" thickBot="1" x14ac:dyDescent="0.3">
      <c r="B235" s="8" t="str">
        <f t="shared" si="6"/>
        <v>Geopolitics &amp; regional</v>
      </c>
      <c r="C235" s="15" t="str">
        <f t="shared" si="7"/>
        <v>India growth</v>
      </c>
      <c r="D235" s="14">
        <f t="shared" ca="1" si="7"/>
        <v>5.4</v>
      </c>
      <c r="E235" s="46">
        <f t="shared" ca="1" si="8"/>
        <v>0.60000000000000009</v>
      </c>
    </row>
    <row r="236" spans="2:5" ht="15.75" thickBot="1" x14ac:dyDescent="0.3">
      <c r="B236" s="8" t="str">
        <f t="shared" si="6"/>
        <v>Geopolitics &amp; regional</v>
      </c>
      <c r="C236" s="15" t="str">
        <f t="shared" si="7"/>
        <v>US trade and policy influencing global energy markets</v>
      </c>
      <c r="D236" s="14">
        <f t="shared" ca="1" si="7"/>
        <v>5.4</v>
      </c>
      <c r="E236" s="46">
        <f t="shared" ca="1" si="8"/>
        <v>0.60000000000000009</v>
      </c>
    </row>
    <row r="237" spans="2:5" ht="15.75" thickBot="1" x14ac:dyDescent="0.3">
      <c r="B237" s="8" t="str">
        <f t="shared" si="6"/>
        <v>Vision &amp; technology</v>
      </c>
      <c r="C237" s="15" t="str">
        <f t="shared" si="7"/>
        <v>Sustainable cities</v>
      </c>
      <c r="D237" s="14">
        <f t="shared" ca="1" si="7"/>
        <v>5.4</v>
      </c>
      <c r="E237" s="46">
        <f t="shared" ca="1" si="8"/>
        <v>0.60000000000000009</v>
      </c>
    </row>
    <row r="238" spans="2:5" ht="15.75" thickBot="1" x14ac:dyDescent="0.3">
      <c r="B238" s="8" t="str">
        <f t="shared" si="6"/>
        <v>Macroeconomic</v>
      </c>
      <c r="C238" s="15" t="str">
        <f t="shared" si="7"/>
        <v>Energy water food nexus</v>
      </c>
      <c r="D238" s="14">
        <f t="shared" ca="1" si="7"/>
        <v>4.7</v>
      </c>
      <c r="E238" s="46">
        <f t="shared" ca="1" si="8"/>
        <v>0.52222222222222225</v>
      </c>
    </row>
    <row r="239" spans="2:5" ht="15.75" thickBot="1" x14ac:dyDescent="0.3">
      <c r="B239" s="8" t="str">
        <f t="shared" si="6"/>
        <v>Macroeconomic</v>
      </c>
      <c r="C239" s="15" t="str">
        <f t="shared" si="7"/>
        <v>Corruption</v>
      </c>
      <c r="D239" s="14">
        <f t="shared" ca="1" si="7"/>
        <v>4.7</v>
      </c>
      <c r="E239" s="46">
        <f t="shared" ca="1" si="8"/>
        <v>0.52222222222222225</v>
      </c>
    </row>
    <row r="240" spans="2:5" ht="15.75" thickBot="1" x14ac:dyDescent="0.3">
      <c r="B240" s="8" t="str">
        <f t="shared" si="6"/>
        <v>Business environment</v>
      </c>
      <c r="C240" s="15" t="str">
        <f t="shared" si="7"/>
        <v>New market players</v>
      </c>
      <c r="D240" s="14"/>
      <c r="E240" s="46"/>
    </row>
    <row r="241" spans="2:5" ht="15.75" thickBot="1" x14ac:dyDescent="0.3">
      <c r="B241" s="8" t="str">
        <f t="shared" si="6"/>
        <v>Macroeconomic</v>
      </c>
      <c r="C241" s="15" t="str">
        <f t="shared" si="7"/>
        <v>Talent scarcity</v>
      </c>
      <c r="D241" s="14"/>
      <c r="E241" s="46"/>
    </row>
    <row r="242" spans="2:5" ht="15.75" thickBot="1" x14ac:dyDescent="0.3">
      <c r="B242" s="8" t="str">
        <f t="shared" si="6"/>
        <v>Vision &amp; technology</v>
      </c>
      <c r="C242" s="15" t="str">
        <f t="shared" si="7"/>
        <v>Hydro power</v>
      </c>
      <c r="D242" s="14"/>
      <c r="E242" s="46"/>
    </row>
    <row r="243" spans="2:5" ht="15.75" thickBot="1" x14ac:dyDescent="0.3">
      <c r="B243" s="8" t="str">
        <f t="shared" si="6"/>
        <v>Macroeconomic</v>
      </c>
      <c r="C243" s="15" t="str">
        <f t="shared" si="7"/>
        <v>Energy poverty</v>
      </c>
      <c r="D243" s="14"/>
      <c r="E243" s="46"/>
    </row>
    <row r="244" spans="2:5" ht="15.75" thickBot="1" x14ac:dyDescent="0.3">
      <c r="B244" s="8" t="str">
        <f t="shared" si="6"/>
        <v>Geopolitics &amp; regional</v>
      </c>
      <c r="C244" s="47" t="str">
        <f t="shared" si="7"/>
        <v>Brazil growth</v>
      </c>
      <c r="D244" s="30"/>
      <c r="E244" s="48"/>
    </row>
    <row r="245" spans="2:5" ht="15.75" thickBot="1" x14ac:dyDescent="0.3"/>
    <row r="246" spans="2:5" ht="15.75" thickBot="1" x14ac:dyDescent="0.3">
      <c r="C246" s="47" t="s">
        <v>223</v>
      </c>
      <c r="D246" s="41">
        <f ca="1">MAX(D213:D239)</f>
        <v>9</v>
      </c>
    </row>
    <row r="247" spans="2:5" s="8" customFormat="1" x14ac:dyDescent="0.25"/>
    <row r="248" spans="2:5" ht="15.75" thickBot="1" x14ac:dyDescent="0.3"/>
    <row r="249" spans="2:5" ht="18.75" x14ac:dyDescent="0.3">
      <c r="C249" s="188" t="s">
        <v>405</v>
      </c>
      <c r="D249" s="190"/>
      <c r="E249" s="189"/>
    </row>
    <row r="250" spans="2:5" ht="30.75" thickBot="1" x14ac:dyDescent="0.3">
      <c r="B250" s="60" t="s">
        <v>240</v>
      </c>
      <c r="C250" s="60" t="s">
        <v>221</v>
      </c>
      <c r="D250" s="44" t="s">
        <v>401</v>
      </c>
      <c r="E250" s="45" t="s">
        <v>406</v>
      </c>
    </row>
    <row r="251" spans="2:5" ht="15.75" thickBot="1" x14ac:dyDescent="0.3">
      <c r="B251" s="8" t="str">
        <f>B164</f>
        <v>Macroeconomic</v>
      </c>
      <c r="C251" s="15" t="str">
        <f>C164</f>
        <v>Global climate framework uncertainty</v>
      </c>
      <c r="D251" s="14">
        <f ca="1">D164</f>
        <v>11.6</v>
      </c>
      <c r="E251" s="46">
        <f ca="1">D251/$D$257</f>
        <v>1</v>
      </c>
    </row>
    <row r="252" spans="2:5" ht="15.75" thickBot="1" x14ac:dyDescent="0.3">
      <c r="B252" s="8" t="str">
        <f t="shared" ref="B252:D255" si="9">B165</f>
        <v>Macroeconomic</v>
      </c>
      <c r="C252" s="15" t="str">
        <f t="shared" si="9"/>
        <v>Energy prices &amp; volatility</v>
      </c>
      <c r="D252" s="14">
        <f t="shared" ca="1" si="9"/>
        <v>11.4</v>
      </c>
      <c r="E252" s="46">
        <f ca="1">D252/$D$257</f>
        <v>0.98275862068965525</v>
      </c>
    </row>
    <row r="253" spans="2:5" ht="15.75" thickBot="1" x14ac:dyDescent="0.3">
      <c r="B253" s="8" t="str">
        <f t="shared" si="9"/>
        <v>Geopolitics &amp; regional</v>
      </c>
      <c r="C253" s="15" t="str">
        <f t="shared" si="9"/>
        <v>Middle East / North Africa fragility</v>
      </c>
      <c r="D253" s="14">
        <f t="shared" ca="1" si="9"/>
        <v>10.5</v>
      </c>
      <c r="E253" s="46">
        <f ca="1">D253/$D$257</f>
        <v>0.90517241379310343</v>
      </c>
    </row>
    <row r="254" spans="2:5" ht="15.75" thickBot="1" x14ac:dyDescent="0.3">
      <c r="B254" s="8" t="str">
        <f t="shared" si="9"/>
        <v>Macroeconomic</v>
      </c>
      <c r="C254" s="15" t="str">
        <f t="shared" si="9"/>
        <v>Global Recesion</v>
      </c>
      <c r="D254" s="14">
        <f t="shared" ca="1" si="9"/>
        <v>10.1</v>
      </c>
      <c r="E254" s="46">
        <f ca="1">D254/$D$257</f>
        <v>0.87068965517241381</v>
      </c>
    </row>
    <row r="255" spans="2:5" ht="15.75" thickBot="1" x14ac:dyDescent="0.3">
      <c r="B255" s="8" t="str">
        <f t="shared" si="9"/>
        <v>Vision &amp; technology</v>
      </c>
      <c r="C255" s="47" t="str">
        <f t="shared" si="9"/>
        <v>Electricity storage</v>
      </c>
      <c r="D255" s="30">
        <f t="shared" ca="1" si="9"/>
        <v>9.4</v>
      </c>
      <c r="E255" s="48">
        <f ca="1">D255/$D$257</f>
        <v>0.81034482758620696</v>
      </c>
    </row>
    <row r="256" spans="2:5" ht="15.75" thickBot="1" x14ac:dyDescent="0.3"/>
    <row r="257" spans="2:5" ht="15.75" thickBot="1" x14ac:dyDescent="0.3">
      <c r="C257" s="47" t="s">
        <v>223</v>
      </c>
      <c r="D257" s="41">
        <f ca="1">MAX(D251:D255)</f>
        <v>11.6</v>
      </c>
    </row>
    <row r="258" spans="2:5" s="8" customFormat="1" x14ac:dyDescent="0.25"/>
    <row r="259" spans="2:5" ht="15.75" thickBot="1" x14ac:dyDescent="0.3"/>
    <row r="260" spans="2:5" s="8" customFormat="1" ht="18.75" x14ac:dyDescent="0.3">
      <c r="C260" s="188" t="s">
        <v>407</v>
      </c>
      <c r="D260" s="190"/>
      <c r="E260" s="189"/>
    </row>
    <row r="261" spans="2:5" ht="30.75" thickBot="1" x14ac:dyDescent="0.3">
      <c r="B261" s="60" t="s">
        <v>240</v>
      </c>
      <c r="C261" s="60" t="s">
        <v>221</v>
      </c>
      <c r="D261" s="44" t="s">
        <v>401</v>
      </c>
      <c r="E261" s="45" t="s">
        <v>408</v>
      </c>
    </row>
    <row r="262" spans="2:5" ht="15.75" thickBot="1" x14ac:dyDescent="0.3">
      <c r="B262" s="8" t="str">
        <f>B196</f>
        <v>Business environment</v>
      </c>
      <c r="C262" s="15" t="str">
        <f>C196</f>
        <v>New market players</v>
      </c>
      <c r="D262" s="14">
        <f ca="1">D196</f>
        <v>4.4000000000000004</v>
      </c>
      <c r="E262" s="46">
        <f ca="1">D262/$D$268</f>
        <v>1</v>
      </c>
    </row>
    <row r="263" spans="2:5" ht="15.75" thickBot="1" x14ac:dyDescent="0.3">
      <c r="B263" s="8" t="str">
        <f t="shared" ref="B263:D266" si="10">B197</f>
        <v>Macroeconomic</v>
      </c>
      <c r="C263" s="15" t="str">
        <f t="shared" si="10"/>
        <v>Talent scarcity</v>
      </c>
      <c r="D263" s="14">
        <f t="shared" ca="1" si="10"/>
        <v>3.7</v>
      </c>
      <c r="E263" s="46">
        <f ca="1">D263/$D$268</f>
        <v>0.84090909090909083</v>
      </c>
    </row>
    <row r="264" spans="2:5" ht="15.75" thickBot="1" x14ac:dyDescent="0.3">
      <c r="B264" s="8" t="str">
        <f t="shared" si="10"/>
        <v>Vision &amp; technology</v>
      </c>
      <c r="C264" s="15" t="str">
        <f t="shared" si="10"/>
        <v>Hydro power</v>
      </c>
      <c r="D264" s="14">
        <f t="shared" ca="1" si="10"/>
        <v>3.3</v>
      </c>
      <c r="E264" s="46">
        <f ca="1">D264/$D$268</f>
        <v>0.74999999999999989</v>
      </c>
    </row>
    <row r="265" spans="2:5" ht="15.75" thickBot="1" x14ac:dyDescent="0.3">
      <c r="B265" s="8" t="str">
        <f t="shared" si="10"/>
        <v>Macroeconomic</v>
      </c>
      <c r="C265" s="15" t="str">
        <f t="shared" si="10"/>
        <v>Energy poverty</v>
      </c>
      <c r="D265" s="14">
        <f t="shared" ca="1" si="10"/>
        <v>2.7</v>
      </c>
      <c r="E265" s="46">
        <f ca="1">D265/$D$268</f>
        <v>0.61363636363636365</v>
      </c>
    </row>
    <row r="266" spans="2:5" ht="15.75" thickBot="1" x14ac:dyDescent="0.3">
      <c r="B266" s="8" t="str">
        <f t="shared" si="10"/>
        <v>Geopolitics &amp; regional</v>
      </c>
      <c r="C266" s="47" t="str">
        <f t="shared" si="10"/>
        <v>Brazil growth</v>
      </c>
      <c r="D266" s="30">
        <f t="shared" ca="1" si="10"/>
        <v>1.7</v>
      </c>
      <c r="E266" s="48">
        <f ca="1">D266/$D$268</f>
        <v>0.3863636363636363</v>
      </c>
    </row>
    <row r="267" spans="2:5" ht="15.75" thickBot="1" x14ac:dyDescent="0.3"/>
    <row r="268" spans="2:5" ht="15.75" thickBot="1" x14ac:dyDescent="0.3">
      <c r="C268" s="47" t="s">
        <v>223</v>
      </c>
      <c r="D268" s="41">
        <f ca="1">MAX(D262:D266)</f>
        <v>4.4000000000000004</v>
      </c>
    </row>
  </sheetData>
  <sortState ref="B53:D89">
    <sortCondition descending="1" ref="D52"/>
  </sortState>
  <mergeCells count="9">
    <mergeCell ref="B1:C5"/>
    <mergeCell ref="C162:D162"/>
    <mergeCell ref="C206:E206"/>
    <mergeCell ref="C249:E249"/>
    <mergeCell ref="C260:E260"/>
    <mergeCell ref="C50:D50"/>
    <mergeCell ref="C94:E94"/>
    <mergeCell ref="C137:E137"/>
    <mergeCell ref="C149:E14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FS320"/>
  <sheetViews>
    <sheetView topLeftCell="C172" zoomScale="70" zoomScaleNormal="70" workbookViewId="0">
      <selection activeCell="E123" sqref="E123"/>
    </sheetView>
  </sheetViews>
  <sheetFormatPr baseColWidth="10" defaultRowHeight="15" x14ac:dyDescent="0.25"/>
  <cols>
    <col min="1" max="1" width="20.85546875" style="8" customWidth="1"/>
    <col min="2" max="2" width="35.28515625" style="8" customWidth="1"/>
    <col min="3" max="3" width="25" style="8" customWidth="1"/>
    <col min="4" max="4" width="50" style="8" bestFit="1" customWidth="1"/>
    <col min="5" max="5" width="35.28515625" style="8" customWidth="1"/>
    <col min="6" max="6" width="15.85546875" style="8" customWidth="1"/>
    <col min="7" max="7" width="19.140625" customWidth="1"/>
    <col min="8" max="8" width="30.7109375" customWidth="1"/>
    <col min="9" max="9" width="11.42578125" style="8"/>
    <col min="11" max="11" width="25" customWidth="1"/>
    <col min="12" max="12" width="20.28515625" customWidth="1"/>
    <col min="15" max="15" width="43.85546875" bestFit="1" customWidth="1"/>
    <col min="16" max="16" width="20.85546875" customWidth="1"/>
    <col min="19" max="19" width="29.42578125" customWidth="1"/>
    <col min="20" max="20" width="16.85546875" customWidth="1"/>
    <col min="23" max="23" width="28.140625" customWidth="1"/>
    <col min="24" max="24" width="19.42578125" customWidth="1"/>
    <col min="27" max="27" width="33.140625" customWidth="1"/>
    <col min="28" max="28" width="15.7109375" customWidth="1"/>
    <col min="31" max="31" width="32.85546875" style="9" customWidth="1"/>
    <col min="32" max="32" width="16.28515625" style="22" customWidth="1"/>
    <col min="35" max="35" width="28.28515625" bestFit="1" customWidth="1"/>
    <col min="36" max="36" width="24.85546875" customWidth="1"/>
    <col min="39" max="39" width="28.42578125" customWidth="1"/>
    <col min="40" max="40" width="24.5703125" customWidth="1"/>
    <col min="43" max="43" width="40" bestFit="1" customWidth="1"/>
    <col min="44" max="44" width="17.42578125" customWidth="1"/>
    <col min="47" max="47" width="42.85546875" bestFit="1" customWidth="1"/>
    <col min="48" max="48" width="20.5703125" customWidth="1"/>
    <col min="51" max="51" width="35.7109375" bestFit="1" customWidth="1"/>
    <col min="52" max="52" width="15.140625" customWidth="1"/>
    <col min="55" max="55" width="29.140625" customWidth="1"/>
    <col min="56" max="56" width="14.140625" customWidth="1"/>
    <col min="57" max="57" width="18.28515625" customWidth="1"/>
    <col min="58" max="58" width="32" customWidth="1"/>
    <col min="59" max="59" width="14.28515625" customWidth="1"/>
    <col min="62" max="62" width="38.140625" bestFit="1" customWidth="1"/>
    <col min="63" max="63" width="14.140625" customWidth="1"/>
    <col min="66" max="66" width="41.85546875" bestFit="1" customWidth="1"/>
    <col min="67" max="67" width="23.140625" customWidth="1"/>
    <col min="70" max="70" width="37.28515625" bestFit="1" customWidth="1"/>
    <col min="71" max="71" width="16" customWidth="1"/>
    <col min="74" max="74" width="20.28515625" customWidth="1"/>
    <col min="75" max="75" width="36.140625" customWidth="1"/>
    <col min="78" max="78" width="38.7109375" bestFit="1" customWidth="1"/>
    <col min="79" max="79" width="18.28515625" customWidth="1"/>
    <col min="82" max="82" width="34.7109375" bestFit="1" customWidth="1"/>
    <col min="83" max="83" width="10.85546875" customWidth="1"/>
    <col min="86" max="86" width="38.5703125" bestFit="1" customWidth="1"/>
    <col min="87" max="87" width="16.42578125" customWidth="1"/>
    <col min="90" max="90" width="39.140625" bestFit="1" customWidth="1"/>
    <col min="91" max="91" width="17" customWidth="1"/>
    <col min="94" max="94" width="28.28515625" bestFit="1" customWidth="1"/>
    <col min="95" max="95" width="24" customWidth="1"/>
    <col min="98" max="98" width="31.140625" customWidth="1"/>
    <col min="99" max="99" width="18.42578125" customWidth="1"/>
    <col min="102" max="102" width="28.28515625" bestFit="1" customWidth="1"/>
    <col min="103" max="103" width="21.140625" customWidth="1"/>
    <col min="106" max="106" width="33.28515625" customWidth="1"/>
    <col min="107" max="107" width="19.85546875" customWidth="1"/>
    <col min="110" max="110" width="27.140625" customWidth="1"/>
    <col min="111" max="111" width="30.85546875" customWidth="1"/>
    <col min="114" max="114" width="31.85546875" customWidth="1"/>
    <col min="115" max="115" width="21.5703125" customWidth="1"/>
    <col min="118" max="118" width="33.7109375" bestFit="1" customWidth="1"/>
    <col min="122" max="122" width="36.140625" bestFit="1" customWidth="1"/>
    <col min="123" max="123" width="13.42578125" customWidth="1"/>
    <col min="126" max="126" width="35.7109375" customWidth="1"/>
    <col min="127" max="127" width="16.5703125" customWidth="1"/>
    <col min="130" max="130" width="42.5703125" bestFit="1" customWidth="1"/>
    <col min="131" max="131" width="18.140625" customWidth="1"/>
    <col min="134" max="134" width="32" customWidth="1"/>
    <col min="135" max="135" width="13.85546875" customWidth="1"/>
    <col min="138" max="138" width="28.5703125" customWidth="1"/>
    <col min="139" max="139" width="11.85546875" customWidth="1"/>
    <col min="141" max="141" width="30.42578125" customWidth="1"/>
    <col min="145" max="145" width="33.42578125" customWidth="1"/>
    <col min="146" max="146" width="19.7109375" customWidth="1"/>
    <col min="149" max="149" width="23.42578125" bestFit="1" customWidth="1"/>
    <col min="150" max="150" width="20.7109375" customWidth="1"/>
    <col min="153" max="153" width="17.28515625" customWidth="1"/>
    <col min="154" max="154" width="23.140625" bestFit="1" customWidth="1"/>
    <col min="157" max="157" width="25.140625" customWidth="1"/>
    <col min="158" max="158" width="21" customWidth="1"/>
  </cols>
  <sheetData>
    <row r="1" spans="2:158" s="40" customFormat="1" x14ac:dyDescent="0.25"/>
    <row r="2" spans="2:158" s="8" customFormat="1" ht="15" customHeight="1" x14ac:dyDescent="0.25">
      <c r="B2" s="191" t="s">
        <v>241</v>
      </c>
      <c r="C2" s="191"/>
      <c r="D2" s="191"/>
    </row>
    <row r="3" spans="2:158" ht="15.75" customHeight="1" thickBot="1" x14ac:dyDescent="0.3">
      <c r="B3" s="191"/>
      <c r="C3" s="191"/>
      <c r="D3" s="191"/>
      <c r="G3" s="8"/>
      <c r="H3" s="8"/>
      <c r="J3" s="8"/>
      <c r="K3" s="8"/>
      <c r="L3" s="8"/>
      <c r="M3" s="8"/>
      <c r="N3" s="8"/>
      <c r="O3" s="8"/>
      <c r="P3" s="8"/>
      <c r="Q3" s="8"/>
      <c r="R3" s="8"/>
      <c r="AD3" s="8"/>
      <c r="AE3" s="8"/>
      <c r="AF3" s="8"/>
      <c r="AG3" s="8"/>
    </row>
    <row r="4" spans="2:158" ht="15.75" customHeight="1" thickBot="1" x14ac:dyDescent="0.3">
      <c r="B4" s="191"/>
      <c r="C4" s="191"/>
      <c r="D4" s="191"/>
      <c r="G4" s="199" t="s">
        <v>0</v>
      </c>
      <c r="H4" s="200"/>
      <c r="J4" s="8"/>
      <c r="K4" s="204" t="s">
        <v>1</v>
      </c>
      <c r="L4" s="205"/>
      <c r="M4" s="8"/>
      <c r="N4" s="8"/>
      <c r="O4" s="204" t="s">
        <v>2</v>
      </c>
      <c r="P4" s="205"/>
      <c r="Q4" s="8"/>
      <c r="R4" s="8"/>
      <c r="S4" s="197" t="s">
        <v>3</v>
      </c>
      <c r="T4" s="198"/>
      <c r="W4" s="197" t="s">
        <v>4</v>
      </c>
      <c r="X4" s="198"/>
      <c r="AA4" s="197" t="s">
        <v>5</v>
      </c>
      <c r="AB4" s="198"/>
      <c r="AE4" s="208" t="s">
        <v>7</v>
      </c>
      <c r="AF4" s="209"/>
      <c r="AG4" s="8"/>
      <c r="AI4" s="15" t="s">
        <v>8</v>
      </c>
      <c r="AJ4" s="16"/>
      <c r="AM4" s="197" t="s">
        <v>9</v>
      </c>
      <c r="AN4" s="198"/>
      <c r="AQ4" s="197" t="s">
        <v>10</v>
      </c>
      <c r="AR4" s="198"/>
      <c r="AU4" s="197" t="s">
        <v>12</v>
      </c>
      <c r="AV4" s="198"/>
      <c r="AY4" s="197" t="s">
        <v>11</v>
      </c>
      <c r="AZ4" s="198"/>
      <c r="BC4" s="203" t="s">
        <v>217</v>
      </c>
      <c r="BD4" s="203"/>
      <c r="BE4" s="203"/>
      <c r="BF4" s="203"/>
      <c r="BG4" s="203"/>
      <c r="BJ4" s="197" t="s">
        <v>15</v>
      </c>
      <c r="BK4" s="198"/>
      <c r="BN4" s="197" t="s">
        <v>16</v>
      </c>
      <c r="BO4" s="198"/>
      <c r="BR4" s="197" t="s">
        <v>17</v>
      </c>
      <c r="BS4" s="198"/>
      <c r="BV4" s="197" t="s">
        <v>187</v>
      </c>
      <c r="BW4" s="198"/>
      <c r="BZ4" s="197" t="s">
        <v>18</v>
      </c>
      <c r="CA4" s="198"/>
      <c r="CD4" s="197" t="s">
        <v>19</v>
      </c>
      <c r="CE4" s="198"/>
      <c r="CH4" s="197" t="s">
        <v>20</v>
      </c>
      <c r="CI4" s="198"/>
      <c r="CL4" s="197" t="s">
        <v>22</v>
      </c>
      <c r="CM4" s="198"/>
      <c r="CP4" s="197" t="s">
        <v>23</v>
      </c>
      <c r="CQ4" s="198"/>
      <c r="CT4" s="197" t="s">
        <v>24</v>
      </c>
      <c r="CU4" s="198"/>
      <c r="CX4" s="197" t="s">
        <v>25</v>
      </c>
      <c r="CY4" s="198"/>
      <c r="DB4" s="197" t="s">
        <v>26</v>
      </c>
      <c r="DC4" s="198"/>
      <c r="DF4" s="197" t="s">
        <v>200</v>
      </c>
      <c r="DG4" s="198"/>
      <c r="DJ4" s="197" t="s">
        <v>27</v>
      </c>
      <c r="DK4" s="198"/>
      <c r="DN4" s="197" t="s">
        <v>28</v>
      </c>
      <c r="DO4" s="198"/>
      <c r="DR4" s="197" t="s">
        <v>29</v>
      </c>
      <c r="DS4" s="198"/>
      <c r="DV4" s="197" t="s">
        <v>30</v>
      </c>
      <c r="DW4" s="198"/>
      <c r="DZ4" s="197" t="s">
        <v>31</v>
      </c>
      <c r="EA4" s="198"/>
      <c r="ED4" s="197" t="s">
        <v>32</v>
      </c>
      <c r="EE4" s="198"/>
      <c r="EH4" s="203" t="s">
        <v>33</v>
      </c>
      <c r="EI4" s="203"/>
      <c r="EJ4" s="203"/>
      <c r="EK4" s="203"/>
      <c r="EL4" s="203"/>
      <c r="EO4" s="197" t="s">
        <v>35</v>
      </c>
      <c r="EP4" s="198"/>
      <c r="ES4" s="197" t="s">
        <v>219</v>
      </c>
      <c r="ET4" s="198"/>
      <c r="EW4" s="197" t="s">
        <v>21</v>
      </c>
      <c r="EX4" s="198"/>
      <c r="FA4" s="197" t="s">
        <v>220</v>
      </c>
      <c r="FB4" s="198"/>
    </row>
    <row r="5" spans="2:158" ht="15.75" customHeight="1" thickBot="1" x14ac:dyDescent="0.3">
      <c r="B5" s="191"/>
      <c r="C5" s="191"/>
      <c r="D5" s="191"/>
      <c r="G5" s="61" t="s">
        <v>216</v>
      </c>
      <c r="H5" s="62">
        <f>AVERAGE(H61:H112)</f>
        <v>18.28846153846154</v>
      </c>
      <c r="J5" s="8"/>
      <c r="K5" s="26" t="s">
        <v>216</v>
      </c>
      <c r="L5" s="26">
        <f>AVERAGE(L20:L31)</f>
        <v>48.083333333333336</v>
      </c>
      <c r="M5" s="8"/>
      <c r="N5" s="8"/>
      <c r="O5" s="26" t="s">
        <v>216</v>
      </c>
      <c r="P5" s="26">
        <f>AVERAGE(P61:P112)</f>
        <v>6.0192307692307692</v>
      </c>
      <c r="Q5" s="8"/>
      <c r="R5" s="8"/>
      <c r="S5" s="26" t="s">
        <v>216</v>
      </c>
      <c r="T5" s="26">
        <f>AVERAGE(T61:T112)</f>
        <v>53.96153846153846</v>
      </c>
      <c r="W5" s="26" t="s">
        <v>216</v>
      </c>
      <c r="X5" s="26">
        <f>AVERAGE(X61:X112)</f>
        <v>23.23076923076923</v>
      </c>
      <c r="AA5" s="26" t="s">
        <v>216</v>
      </c>
      <c r="AB5" s="26">
        <f>AVERAGE(AB61:AB112)</f>
        <v>26.557692307692307</v>
      </c>
      <c r="AE5" s="26" t="s">
        <v>216</v>
      </c>
      <c r="AF5" s="26">
        <f>AVERAGE(AF20:AF31)</f>
        <v>5.083333333333333</v>
      </c>
      <c r="AI5" s="26" t="s">
        <v>216</v>
      </c>
      <c r="AJ5" s="26">
        <f>AVERAGE(AJ20:AJ31)</f>
        <v>39.75</v>
      </c>
      <c r="AM5" s="26" t="s">
        <v>216</v>
      </c>
      <c r="AN5" s="26">
        <f>AVERAGE(AN20:AN31)</f>
        <v>27.833333333333332</v>
      </c>
      <c r="AQ5" s="26" t="s">
        <v>216</v>
      </c>
      <c r="AR5" s="26">
        <f>AVERAGE(AR61:AR112)</f>
        <v>34.269230769230766</v>
      </c>
      <c r="AU5" s="26" t="s">
        <v>216</v>
      </c>
      <c r="AV5" s="26">
        <f>AVERAGE(AV20:AV31)</f>
        <v>26</v>
      </c>
      <c r="AY5" s="26" t="s">
        <v>216</v>
      </c>
      <c r="AZ5" s="26">
        <f>AVERAGE(AZ61:AZ112)</f>
        <v>37.192307692307693</v>
      </c>
      <c r="BC5" s="26" t="s">
        <v>216</v>
      </c>
      <c r="BD5" s="26">
        <f>AVERAGE(BD61:BD112)</f>
        <v>59.403846153846153</v>
      </c>
      <c r="BE5" s="63">
        <f>AVERAGE(BG5,BD5)</f>
        <v>44.865384615384613</v>
      </c>
      <c r="BF5" s="26" t="s">
        <v>216</v>
      </c>
      <c r="BG5" s="26">
        <f>AVERAGE(BG61:BG112)</f>
        <v>30.326923076923077</v>
      </c>
      <c r="BJ5" s="26" t="s">
        <v>216</v>
      </c>
      <c r="BK5" s="26">
        <f>AVERAGE(BK61:BK112)</f>
        <v>45.71153846153846</v>
      </c>
      <c r="BN5" s="26" t="s">
        <v>216</v>
      </c>
      <c r="BO5" s="26">
        <f>AVERAGE(BO20:BO31)</f>
        <v>13.666666666666666</v>
      </c>
      <c r="BR5" s="26" t="s">
        <v>216</v>
      </c>
      <c r="BS5" s="26">
        <f>AVERAGE(BS20:BS31)</f>
        <v>15.166666666666666</v>
      </c>
      <c r="BV5" s="26" t="s">
        <v>216</v>
      </c>
      <c r="BW5" s="26">
        <f>AVERAGE(BW20:BW31)</f>
        <v>7.75</v>
      </c>
      <c r="BZ5" s="26" t="s">
        <v>216</v>
      </c>
      <c r="CA5" s="26">
        <f>AVERAGE(CA20:CA31)</f>
        <v>36</v>
      </c>
      <c r="CD5" s="26" t="s">
        <v>216</v>
      </c>
      <c r="CE5" s="26">
        <f>AVERAGE(CE61:CE112)</f>
        <v>14.634615384615385</v>
      </c>
      <c r="CH5" s="26" t="s">
        <v>216</v>
      </c>
      <c r="CI5" s="26">
        <f>AVERAGE(CI61:CI112)</f>
        <v>20.884615384615383</v>
      </c>
      <c r="CL5" s="26" t="s">
        <v>216</v>
      </c>
      <c r="CM5" s="26">
        <f>AVERAGE(CM61:CM112)</f>
        <v>42.519230769230766</v>
      </c>
      <c r="CP5" s="26" t="s">
        <v>216</v>
      </c>
      <c r="CQ5" s="26">
        <f>AVERAGE(CQ21:CQ31)</f>
        <v>66.36363636363636</v>
      </c>
      <c r="CT5" s="26" t="s">
        <v>216</v>
      </c>
      <c r="CU5" s="26">
        <f>AVERAGE(CU61:CU112)</f>
        <v>34.980769230769234</v>
      </c>
      <c r="CX5" s="26" t="s">
        <v>216</v>
      </c>
      <c r="CY5" s="26">
        <f>AVERAGE(CY20:CY31)</f>
        <v>45.5</v>
      </c>
      <c r="DB5" s="26" t="s">
        <v>216</v>
      </c>
      <c r="DC5" s="26">
        <f>AVERAGE(DC61:DC112)</f>
        <v>36.865384615384613</v>
      </c>
      <c r="DF5" s="26" t="s">
        <v>216</v>
      </c>
      <c r="DG5" s="26">
        <f>AVERAGE(DG61:DG112)</f>
        <v>22.403846153846153</v>
      </c>
      <c r="DJ5" s="26" t="s">
        <v>216</v>
      </c>
      <c r="DK5" s="26">
        <f>AVERAGE(DK61:DK112)</f>
        <v>50</v>
      </c>
      <c r="DN5" s="26" t="s">
        <v>216</v>
      </c>
      <c r="DO5" s="26">
        <f>AVERAGE(DO61:DO112)</f>
        <v>19.365384615384617</v>
      </c>
      <c r="DR5" s="26" t="s">
        <v>216</v>
      </c>
      <c r="DS5" s="26">
        <f>AVERAGE(DS61:DS112)</f>
        <v>44.019230769230766</v>
      </c>
      <c r="DV5" s="26" t="s">
        <v>216</v>
      </c>
      <c r="DW5" s="26">
        <f>AVERAGE(DW61:DW112)</f>
        <v>43.346153846153847</v>
      </c>
      <c r="DZ5" s="26" t="s">
        <v>216</v>
      </c>
      <c r="EA5" s="26">
        <f>AVERAGE(EA61:EA112)</f>
        <v>38.46153846153846</v>
      </c>
      <c r="ED5" s="26" t="s">
        <v>216</v>
      </c>
      <c r="EE5" s="26">
        <f>AVERAGE(EE61:EE112)</f>
        <v>14.653846153846153</v>
      </c>
      <c r="EH5" s="26" t="s">
        <v>216</v>
      </c>
      <c r="EI5" s="26">
        <f>AVERAGE(EI61:EI112)</f>
        <v>71.769230769230774</v>
      </c>
      <c r="EJ5" s="5">
        <f>AVERAGE(EI5,EL5)</f>
        <v>49</v>
      </c>
      <c r="EK5" s="26" t="s">
        <v>216</v>
      </c>
      <c r="EL5" s="26">
        <f>AVERAGE(EL61:EL112)</f>
        <v>26.23076923076923</v>
      </c>
      <c r="EO5" s="26" t="s">
        <v>216</v>
      </c>
      <c r="EP5" s="26">
        <f>AVERAGE(EP61:EP112)</f>
        <v>3.0384615384615383</v>
      </c>
      <c r="ES5" s="103" t="s">
        <v>216</v>
      </c>
      <c r="ET5" s="22">
        <f>AVERAGE(ET61:ET112)</f>
        <v>0.63903846153846133</v>
      </c>
      <c r="EW5" s="9" t="s">
        <v>216</v>
      </c>
      <c r="EX5" s="22">
        <f>AVERAGE(EX20:EX31)</f>
        <v>18.5</v>
      </c>
      <c r="FA5" s="9" t="s">
        <v>216</v>
      </c>
      <c r="FB5" s="22">
        <f>AVERAGE(FB61:FB112)</f>
        <v>48.115384615384613</v>
      </c>
    </row>
    <row r="6" spans="2:158" ht="15" customHeight="1" x14ac:dyDescent="0.25">
      <c r="B6" s="191"/>
      <c r="C6" s="191"/>
      <c r="D6" s="191"/>
      <c r="G6" s="201" t="s">
        <v>214</v>
      </c>
      <c r="H6" s="202"/>
      <c r="J6" s="8"/>
      <c r="K6" s="201" t="s">
        <v>214</v>
      </c>
      <c r="L6" s="202"/>
      <c r="M6" s="8"/>
      <c r="N6" s="8"/>
      <c r="O6" s="201" t="s">
        <v>214</v>
      </c>
      <c r="P6" s="202"/>
      <c r="Q6" s="8"/>
      <c r="R6" s="8"/>
      <c r="S6" s="206" t="s">
        <v>214</v>
      </c>
      <c r="T6" s="207"/>
      <c r="W6" s="206" t="s">
        <v>214</v>
      </c>
      <c r="X6" s="207"/>
      <c r="AA6" s="206" t="s">
        <v>214</v>
      </c>
      <c r="AB6" s="207"/>
      <c r="AE6" s="206" t="s">
        <v>214</v>
      </c>
      <c r="AF6" s="207"/>
      <c r="AI6" s="206" t="s">
        <v>214</v>
      </c>
      <c r="AJ6" s="207"/>
      <c r="AM6" s="206" t="s">
        <v>214</v>
      </c>
      <c r="AN6" s="207"/>
      <c r="AQ6" s="206" t="s">
        <v>214</v>
      </c>
      <c r="AR6" s="207"/>
      <c r="AU6" s="206" t="s">
        <v>214</v>
      </c>
      <c r="AV6" s="207"/>
      <c r="AY6" s="206" t="s">
        <v>214</v>
      </c>
      <c r="AZ6" s="207"/>
      <c r="BC6" s="195" t="s">
        <v>214</v>
      </c>
      <c r="BD6" s="196"/>
      <c r="BF6" s="195" t="s">
        <v>214</v>
      </c>
      <c r="BG6" s="196"/>
      <c r="BJ6" s="195" t="s">
        <v>214</v>
      </c>
      <c r="BK6" s="196"/>
      <c r="BN6" s="195" t="s">
        <v>214</v>
      </c>
      <c r="BO6" s="196"/>
      <c r="BR6" s="195" t="s">
        <v>214</v>
      </c>
      <c r="BS6" s="196"/>
      <c r="BV6" s="195" t="s">
        <v>214</v>
      </c>
      <c r="BW6" s="196"/>
      <c r="BZ6" s="195" t="s">
        <v>214</v>
      </c>
      <c r="CA6" s="196"/>
      <c r="CD6" s="195" t="s">
        <v>214</v>
      </c>
      <c r="CE6" s="196"/>
      <c r="CH6" s="195" t="s">
        <v>214</v>
      </c>
      <c r="CI6" s="196"/>
      <c r="CL6" s="195" t="s">
        <v>214</v>
      </c>
      <c r="CM6" s="196"/>
      <c r="CP6" s="195" t="s">
        <v>214</v>
      </c>
      <c r="CQ6" s="196"/>
      <c r="CT6" s="195" t="s">
        <v>214</v>
      </c>
      <c r="CU6" s="196"/>
      <c r="CX6" s="195" t="s">
        <v>214</v>
      </c>
      <c r="CY6" s="196"/>
      <c r="DB6" s="195" t="s">
        <v>214</v>
      </c>
      <c r="DC6" s="196"/>
      <c r="DF6" s="195" t="s">
        <v>214</v>
      </c>
      <c r="DG6" s="196"/>
      <c r="DJ6" s="195" t="s">
        <v>214</v>
      </c>
      <c r="DK6" s="196"/>
      <c r="DN6" s="195" t="s">
        <v>214</v>
      </c>
      <c r="DO6" s="196"/>
      <c r="DR6" s="195" t="s">
        <v>214</v>
      </c>
      <c r="DS6" s="196"/>
      <c r="DV6" s="195" t="s">
        <v>214</v>
      </c>
      <c r="DW6" s="196"/>
      <c r="DZ6" s="195" t="s">
        <v>214</v>
      </c>
      <c r="EA6" s="196"/>
      <c r="ED6" s="195" t="s">
        <v>214</v>
      </c>
      <c r="EE6" s="196"/>
      <c r="EH6" s="195" t="s">
        <v>214</v>
      </c>
      <c r="EI6" s="196"/>
      <c r="EK6" s="195" t="s">
        <v>214</v>
      </c>
      <c r="EL6" s="196"/>
      <c r="EO6" s="195" t="s">
        <v>214</v>
      </c>
      <c r="EP6" s="196"/>
      <c r="ES6" s="195" t="s">
        <v>214</v>
      </c>
      <c r="ET6" s="196"/>
      <c r="EW6" s="195" t="s">
        <v>214</v>
      </c>
      <c r="EX6" s="196"/>
      <c r="FA6" s="195" t="s">
        <v>214</v>
      </c>
      <c r="FB6" s="196"/>
    </row>
    <row r="7" spans="2:158" x14ac:dyDescent="0.25">
      <c r="G7" s="9" t="s">
        <v>39</v>
      </c>
      <c r="H7" s="23" t="s">
        <v>40</v>
      </c>
      <c r="J7" s="8"/>
      <c r="K7" s="9" t="s">
        <v>147</v>
      </c>
      <c r="L7" s="5" t="s">
        <v>148</v>
      </c>
      <c r="M7" s="8"/>
      <c r="N7" s="8"/>
      <c r="O7" s="31" t="s">
        <v>39</v>
      </c>
      <c r="P7" s="23" t="s">
        <v>173</v>
      </c>
      <c r="Q7" s="8"/>
      <c r="R7" s="8"/>
      <c r="S7" s="9" t="s">
        <v>39</v>
      </c>
      <c r="T7" s="23" t="s">
        <v>174</v>
      </c>
      <c r="W7" s="9" t="s">
        <v>39</v>
      </c>
      <c r="X7" s="23" t="s">
        <v>175</v>
      </c>
      <c r="AA7" s="9" t="s">
        <v>39</v>
      </c>
      <c r="AB7" s="23" t="s">
        <v>6</v>
      </c>
      <c r="AE7" s="9" t="s">
        <v>147</v>
      </c>
      <c r="AF7" s="23" t="s">
        <v>176</v>
      </c>
      <c r="AI7" s="9" t="s">
        <v>147</v>
      </c>
      <c r="AJ7" s="23" t="s">
        <v>177</v>
      </c>
      <c r="AM7" s="9" t="s">
        <v>147</v>
      </c>
      <c r="AN7" s="23" t="s">
        <v>178</v>
      </c>
      <c r="AQ7" s="9" t="s">
        <v>39</v>
      </c>
      <c r="AR7" s="23" t="s">
        <v>179</v>
      </c>
      <c r="AU7" s="9" t="s">
        <v>147</v>
      </c>
      <c r="AV7" s="23" t="s">
        <v>180</v>
      </c>
      <c r="AY7" s="9" t="s">
        <v>39</v>
      </c>
      <c r="AZ7" s="23" t="s">
        <v>181</v>
      </c>
      <c r="BC7" s="9" t="s">
        <v>39</v>
      </c>
      <c r="BD7" s="23" t="s">
        <v>182</v>
      </c>
      <c r="BF7" s="9" t="s">
        <v>39</v>
      </c>
      <c r="BG7" s="23" t="s">
        <v>183</v>
      </c>
      <c r="BJ7" s="9" t="s">
        <v>39</v>
      </c>
      <c r="BK7" s="23" t="s">
        <v>184</v>
      </c>
      <c r="BN7" s="9" t="s">
        <v>147</v>
      </c>
      <c r="BO7" s="23" t="s">
        <v>185</v>
      </c>
      <c r="BR7" s="9" t="s">
        <v>147</v>
      </c>
      <c r="BS7" s="23" t="s">
        <v>186</v>
      </c>
      <c r="BV7" s="9" t="s">
        <v>147</v>
      </c>
      <c r="BW7" s="23" t="s">
        <v>190</v>
      </c>
      <c r="BZ7" s="9" t="s">
        <v>147</v>
      </c>
      <c r="CA7" s="23" t="s">
        <v>191</v>
      </c>
      <c r="CD7" s="9" t="s">
        <v>39</v>
      </c>
      <c r="CE7" s="23" t="s">
        <v>192</v>
      </c>
      <c r="CH7" s="9" t="s">
        <v>39</v>
      </c>
      <c r="CI7" s="23" t="s">
        <v>193</v>
      </c>
      <c r="CL7" s="9" t="s">
        <v>39</v>
      </c>
      <c r="CM7" s="23" t="s">
        <v>194</v>
      </c>
      <c r="CP7" s="9" t="s">
        <v>147</v>
      </c>
      <c r="CQ7" s="23" t="s">
        <v>195</v>
      </c>
      <c r="CT7" s="9" t="s">
        <v>39</v>
      </c>
      <c r="CU7" s="23" t="s">
        <v>196</v>
      </c>
      <c r="CX7" s="9" t="s">
        <v>147</v>
      </c>
      <c r="CY7" s="23" t="s">
        <v>197</v>
      </c>
      <c r="DB7" s="9" t="s">
        <v>39</v>
      </c>
      <c r="DC7" s="23" t="s">
        <v>198</v>
      </c>
      <c r="DF7" s="9" t="s">
        <v>39</v>
      </c>
      <c r="DG7" s="23" t="s">
        <v>199</v>
      </c>
      <c r="DJ7" s="9" t="s">
        <v>39</v>
      </c>
      <c r="DK7" s="23" t="s">
        <v>201</v>
      </c>
      <c r="DN7" s="9" t="s">
        <v>39</v>
      </c>
      <c r="DO7" s="23" t="s">
        <v>202</v>
      </c>
      <c r="DR7" s="9" t="s">
        <v>39</v>
      </c>
      <c r="DS7" s="23" t="s">
        <v>203</v>
      </c>
      <c r="DV7" s="9" t="s">
        <v>39</v>
      </c>
      <c r="DW7" s="23" t="s">
        <v>204</v>
      </c>
      <c r="DZ7" s="9" t="s">
        <v>39</v>
      </c>
      <c r="EA7" s="23" t="s">
        <v>205</v>
      </c>
      <c r="ED7" s="9" t="s">
        <v>39</v>
      </c>
      <c r="EE7" s="23" t="s">
        <v>206</v>
      </c>
      <c r="EH7" s="9" t="s">
        <v>39</v>
      </c>
      <c r="EI7" s="23" t="s">
        <v>207</v>
      </c>
      <c r="EK7" s="9" t="s">
        <v>39</v>
      </c>
      <c r="EL7" s="23" t="s">
        <v>34</v>
      </c>
      <c r="EO7" s="9" t="s">
        <v>39</v>
      </c>
      <c r="EP7" s="23" t="s">
        <v>208</v>
      </c>
      <c r="ES7" s="9" t="s">
        <v>147</v>
      </c>
      <c r="ET7" s="23" t="s">
        <v>219</v>
      </c>
      <c r="EW7" s="9" t="s">
        <v>147</v>
      </c>
      <c r="EX7" s="23" t="s">
        <v>242</v>
      </c>
      <c r="FA7" s="9" t="s">
        <v>39</v>
      </c>
      <c r="FB7" s="22" t="s">
        <v>220</v>
      </c>
    </row>
    <row r="8" spans="2:158" x14ac:dyDescent="0.25">
      <c r="G8" s="100" t="s">
        <v>41</v>
      </c>
      <c r="H8" s="101">
        <v>16</v>
      </c>
      <c r="J8" s="8"/>
      <c r="K8" s="100" t="s">
        <v>149</v>
      </c>
      <c r="L8" s="101">
        <v>61</v>
      </c>
      <c r="M8" s="8"/>
      <c r="N8" s="8"/>
      <c r="O8" s="102" t="s">
        <v>41</v>
      </c>
      <c r="P8" s="101">
        <v>8</v>
      </c>
      <c r="Q8" s="8"/>
      <c r="R8" s="8"/>
      <c r="S8" s="100" t="s">
        <v>41</v>
      </c>
      <c r="T8" s="101">
        <v>53</v>
      </c>
      <c r="W8" s="100" t="s">
        <v>41</v>
      </c>
      <c r="X8" s="101">
        <v>28</v>
      </c>
      <c r="AA8" s="100" t="s">
        <v>41</v>
      </c>
      <c r="AB8" s="101">
        <v>26</v>
      </c>
      <c r="AE8" s="100" t="s">
        <v>149</v>
      </c>
      <c r="AF8" s="101">
        <v>6</v>
      </c>
      <c r="AI8" s="100" t="s">
        <v>149</v>
      </c>
      <c r="AJ8" s="101">
        <v>0</v>
      </c>
      <c r="AM8" s="100" t="s">
        <v>149</v>
      </c>
      <c r="AN8" s="101">
        <v>0</v>
      </c>
      <c r="AQ8" s="100" t="s">
        <v>41</v>
      </c>
      <c r="AR8" s="101">
        <v>27</v>
      </c>
      <c r="AU8" s="100" t="s">
        <v>149</v>
      </c>
      <c r="AV8" s="101">
        <v>39</v>
      </c>
      <c r="AY8" s="100" t="s">
        <v>41</v>
      </c>
      <c r="AZ8" s="101">
        <v>45</v>
      </c>
      <c r="BC8" s="100" t="s">
        <v>41</v>
      </c>
      <c r="BD8" s="101">
        <v>56</v>
      </c>
      <c r="BF8" s="100" t="s">
        <v>41</v>
      </c>
      <c r="BG8" s="101">
        <v>26</v>
      </c>
      <c r="BJ8" s="100" t="s">
        <v>41</v>
      </c>
      <c r="BK8" s="101">
        <v>80</v>
      </c>
      <c r="BN8" s="100" t="s">
        <v>149</v>
      </c>
      <c r="BO8" s="101">
        <v>11</v>
      </c>
      <c r="BR8" s="100" t="s">
        <v>149</v>
      </c>
      <c r="BS8" s="101">
        <v>17</v>
      </c>
      <c r="BV8" s="100" t="s">
        <v>149</v>
      </c>
      <c r="BW8" s="101">
        <v>0</v>
      </c>
      <c r="BZ8" s="100" t="s">
        <v>149</v>
      </c>
      <c r="CA8" s="101">
        <v>34</v>
      </c>
      <c r="CD8" s="100" t="s">
        <v>41</v>
      </c>
      <c r="CE8" s="101">
        <v>13</v>
      </c>
      <c r="CH8" s="100" t="s">
        <v>41</v>
      </c>
      <c r="CI8" s="101">
        <v>16</v>
      </c>
      <c r="CL8" s="100" t="s">
        <v>41</v>
      </c>
      <c r="CM8" s="101">
        <v>28</v>
      </c>
      <c r="CP8" s="100" t="s">
        <v>149</v>
      </c>
      <c r="CQ8" s="101">
        <v>63</v>
      </c>
      <c r="CT8" s="100" t="s">
        <v>41</v>
      </c>
      <c r="CU8" s="101">
        <v>25</v>
      </c>
      <c r="CX8" s="100" t="s">
        <v>149</v>
      </c>
      <c r="CY8" s="101">
        <v>52</v>
      </c>
      <c r="DB8" s="100" t="s">
        <v>41</v>
      </c>
      <c r="DC8" s="101">
        <v>27</v>
      </c>
      <c r="DF8" s="100" t="s">
        <v>41</v>
      </c>
      <c r="DG8" s="101">
        <v>26</v>
      </c>
      <c r="DJ8" s="100" t="s">
        <v>41</v>
      </c>
      <c r="DK8" s="101">
        <v>49</v>
      </c>
      <c r="DN8" s="100" t="s">
        <v>41</v>
      </c>
      <c r="DO8" s="101">
        <v>22</v>
      </c>
      <c r="DR8" s="100" t="s">
        <v>41</v>
      </c>
      <c r="DS8" s="101">
        <v>42</v>
      </c>
      <c r="DV8" s="100" t="s">
        <v>41</v>
      </c>
      <c r="DW8" s="101">
        <v>48</v>
      </c>
      <c r="DZ8" s="100" t="s">
        <v>41</v>
      </c>
      <c r="EA8" s="101">
        <v>23</v>
      </c>
      <c r="ED8" s="100" t="s">
        <v>41</v>
      </c>
      <c r="EE8" s="101">
        <v>14</v>
      </c>
      <c r="EH8" s="100" t="s">
        <v>41</v>
      </c>
      <c r="EI8" s="101">
        <v>63</v>
      </c>
      <c r="EK8" s="100" t="s">
        <v>41</v>
      </c>
      <c r="EL8" s="101">
        <v>24</v>
      </c>
      <c r="EO8" s="100" t="s">
        <v>41</v>
      </c>
      <c r="EP8" s="101">
        <v>7</v>
      </c>
      <c r="ES8" s="100" t="s">
        <v>41</v>
      </c>
      <c r="ET8" s="101">
        <v>0.11</v>
      </c>
      <c r="EW8" s="100" t="s">
        <v>149</v>
      </c>
      <c r="EX8" s="101">
        <v>0</v>
      </c>
      <c r="FA8" s="100" t="s">
        <v>243</v>
      </c>
      <c r="FB8" s="101">
        <v>45</v>
      </c>
    </row>
    <row r="9" spans="2:158" x14ac:dyDescent="0.25">
      <c r="G9" s="100" t="s">
        <v>42</v>
      </c>
      <c r="H9" s="101">
        <v>23</v>
      </c>
      <c r="J9" s="8"/>
      <c r="K9" s="100" t="s">
        <v>150</v>
      </c>
      <c r="L9" s="101">
        <v>44</v>
      </c>
      <c r="M9" s="8"/>
      <c r="N9" s="8"/>
      <c r="O9" s="102" t="s">
        <v>42</v>
      </c>
      <c r="P9" s="101">
        <v>7</v>
      </c>
      <c r="Q9" s="8"/>
      <c r="R9" s="8"/>
      <c r="S9" s="100" t="s">
        <v>42</v>
      </c>
      <c r="T9" s="101">
        <v>54</v>
      </c>
      <c r="W9" s="100" t="s">
        <v>42</v>
      </c>
      <c r="X9" s="101">
        <v>33</v>
      </c>
      <c r="AA9" s="100" t="s">
        <v>42</v>
      </c>
      <c r="AB9" s="101">
        <v>30</v>
      </c>
      <c r="AE9" s="100" t="s">
        <v>150</v>
      </c>
      <c r="AF9" s="101">
        <v>4</v>
      </c>
      <c r="AI9" s="100" t="s">
        <v>150</v>
      </c>
      <c r="AJ9" s="101">
        <v>0</v>
      </c>
      <c r="AM9" s="100" t="s">
        <v>150</v>
      </c>
      <c r="AN9" s="101">
        <v>0</v>
      </c>
      <c r="AQ9" s="100" t="s">
        <v>42</v>
      </c>
      <c r="AR9" s="101">
        <v>39</v>
      </c>
      <c r="AU9" s="100" t="s">
        <v>150</v>
      </c>
      <c r="AV9" s="101">
        <v>41</v>
      </c>
      <c r="AY9" s="100" t="s">
        <v>42</v>
      </c>
      <c r="AZ9" s="101">
        <v>43</v>
      </c>
      <c r="BC9" s="100" t="s">
        <v>42</v>
      </c>
      <c r="BD9" s="101">
        <v>52</v>
      </c>
      <c r="BF9" s="100" t="s">
        <v>42</v>
      </c>
      <c r="BG9" s="101">
        <v>31</v>
      </c>
      <c r="BJ9" s="100" t="s">
        <v>42</v>
      </c>
      <c r="BK9" s="101">
        <v>62</v>
      </c>
      <c r="BN9" s="100" t="s">
        <v>150</v>
      </c>
      <c r="BO9" s="101">
        <v>17</v>
      </c>
      <c r="BR9" s="100" t="s">
        <v>150</v>
      </c>
      <c r="BS9" s="101">
        <v>17</v>
      </c>
      <c r="BV9" s="100" t="s">
        <v>150</v>
      </c>
      <c r="BW9" s="101">
        <v>63</v>
      </c>
      <c r="BZ9" s="100" t="s">
        <v>150</v>
      </c>
      <c r="CA9" s="101">
        <v>30</v>
      </c>
      <c r="CD9" s="100" t="s">
        <v>42</v>
      </c>
      <c r="CE9" s="101">
        <v>14</v>
      </c>
      <c r="CH9" s="100" t="s">
        <v>42</v>
      </c>
      <c r="CI9" s="101">
        <v>22</v>
      </c>
      <c r="CL9" s="100" t="s">
        <v>42</v>
      </c>
      <c r="CM9" s="101">
        <v>36</v>
      </c>
      <c r="CP9" s="100" t="s">
        <v>150</v>
      </c>
      <c r="CQ9" s="101">
        <v>63</v>
      </c>
      <c r="CT9" s="100" t="s">
        <v>42</v>
      </c>
      <c r="CU9" s="101">
        <v>40</v>
      </c>
      <c r="CX9" s="100" t="s">
        <v>150</v>
      </c>
      <c r="CY9" s="101">
        <v>62</v>
      </c>
      <c r="DB9" s="100" t="s">
        <v>42</v>
      </c>
      <c r="DC9" s="101">
        <v>55</v>
      </c>
      <c r="DF9" s="100" t="s">
        <v>42</v>
      </c>
      <c r="DG9" s="101">
        <v>25</v>
      </c>
      <c r="DJ9" s="100" t="s">
        <v>42</v>
      </c>
      <c r="DK9" s="101">
        <v>56</v>
      </c>
      <c r="DN9" s="100" t="s">
        <v>42</v>
      </c>
      <c r="DO9" s="101">
        <v>28</v>
      </c>
      <c r="DR9" s="100" t="s">
        <v>42</v>
      </c>
      <c r="DS9" s="101">
        <v>65</v>
      </c>
      <c r="DV9" s="100" t="s">
        <v>42</v>
      </c>
      <c r="DW9" s="101">
        <v>36</v>
      </c>
      <c r="DZ9" s="100" t="s">
        <v>42</v>
      </c>
      <c r="EA9" s="101">
        <v>32</v>
      </c>
      <c r="ED9" s="100" t="s">
        <v>42</v>
      </c>
      <c r="EE9" s="101">
        <v>14</v>
      </c>
      <c r="EH9" s="100" t="s">
        <v>42</v>
      </c>
      <c r="EI9" s="101">
        <v>67</v>
      </c>
      <c r="EK9" s="100" t="s">
        <v>42</v>
      </c>
      <c r="EL9" s="101">
        <v>22</v>
      </c>
      <c r="EO9" s="100" t="s">
        <v>42</v>
      </c>
      <c r="EP9" s="101">
        <v>6</v>
      </c>
      <c r="ES9" s="100" t="s">
        <v>42</v>
      </c>
      <c r="ET9" s="101">
        <v>0.9</v>
      </c>
      <c r="EW9" s="100" t="s">
        <v>150</v>
      </c>
      <c r="EX9" s="101">
        <v>0</v>
      </c>
      <c r="FA9" s="100" t="s">
        <v>244</v>
      </c>
      <c r="FB9" s="101">
        <v>53</v>
      </c>
    </row>
    <row r="10" spans="2:158" x14ac:dyDescent="0.25">
      <c r="G10" s="100" t="s">
        <v>43</v>
      </c>
      <c r="H10" s="101">
        <v>20</v>
      </c>
      <c r="J10" s="8"/>
      <c r="K10" s="100" t="s">
        <v>151</v>
      </c>
      <c r="L10" s="101">
        <v>38</v>
      </c>
      <c r="M10" s="8"/>
      <c r="N10" s="8"/>
      <c r="O10" s="102" t="s">
        <v>43</v>
      </c>
      <c r="P10" s="101">
        <v>7</v>
      </c>
      <c r="Q10" s="8"/>
      <c r="R10" s="8"/>
      <c r="S10" s="100" t="s">
        <v>43</v>
      </c>
      <c r="T10" s="101">
        <v>55</v>
      </c>
      <c r="W10" s="100" t="s">
        <v>43</v>
      </c>
      <c r="X10" s="101">
        <v>33</v>
      </c>
      <c r="AA10" s="100" t="s">
        <v>43</v>
      </c>
      <c r="AB10" s="101">
        <v>32</v>
      </c>
      <c r="AE10" s="100" t="s">
        <v>151</v>
      </c>
      <c r="AF10" s="101">
        <v>7</v>
      </c>
      <c r="AI10" s="100" t="s">
        <v>151</v>
      </c>
      <c r="AJ10" s="101">
        <v>0</v>
      </c>
      <c r="AM10" s="100" t="s">
        <v>151</v>
      </c>
      <c r="AN10" s="101">
        <v>0</v>
      </c>
      <c r="AQ10" s="100" t="s">
        <v>43</v>
      </c>
      <c r="AR10" s="101">
        <v>41</v>
      </c>
      <c r="AU10" s="100" t="s">
        <v>151</v>
      </c>
      <c r="AV10" s="101">
        <v>42</v>
      </c>
      <c r="AY10" s="100" t="s">
        <v>43</v>
      </c>
      <c r="AZ10" s="101">
        <v>43</v>
      </c>
      <c r="BC10" s="100" t="s">
        <v>43</v>
      </c>
      <c r="BD10" s="101">
        <v>62</v>
      </c>
      <c r="BF10" s="100" t="s">
        <v>43</v>
      </c>
      <c r="BG10" s="101">
        <v>37</v>
      </c>
      <c r="BJ10" s="100" t="s">
        <v>43</v>
      </c>
      <c r="BK10" s="101">
        <v>61</v>
      </c>
      <c r="BN10" s="100" t="s">
        <v>151</v>
      </c>
      <c r="BO10" s="101">
        <v>16</v>
      </c>
      <c r="BR10" s="100" t="s">
        <v>151</v>
      </c>
      <c r="BS10" s="101">
        <v>25</v>
      </c>
      <c r="BV10" s="100" t="s">
        <v>151</v>
      </c>
      <c r="BW10" s="101">
        <v>56</v>
      </c>
      <c r="BZ10" s="100" t="s">
        <v>151</v>
      </c>
      <c r="CA10" s="101">
        <v>36</v>
      </c>
      <c r="CD10" s="100" t="s">
        <v>43</v>
      </c>
      <c r="CE10" s="101">
        <v>15</v>
      </c>
      <c r="CH10" s="100" t="s">
        <v>43</v>
      </c>
      <c r="CI10" s="101">
        <v>23</v>
      </c>
      <c r="CL10" s="100" t="s">
        <v>43</v>
      </c>
      <c r="CM10" s="101">
        <v>40</v>
      </c>
      <c r="CP10" s="100" t="s">
        <v>151</v>
      </c>
      <c r="CQ10" s="101">
        <v>54</v>
      </c>
      <c r="CT10" s="100" t="s">
        <v>43</v>
      </c>
      <c r="CU10" s="101">
        <v>34</v>
      </c>
      <c r="CX10" s="100" t="s">
        <v>151</v>
      </c>
      <c r="CY10" s="101">
        <v>44</v>
      </c>
      <c r="DB10" s="100" t="s">
        <v>43</v>
      </c>
      <c r="DC10" s="101">
        <v>51</v>
      </c>
      <c r="DF10" s="100" t="s">
        <v>43</v>
      </c>
      <c r="DG10" s="101">
        <v>22</v>
      </c>
      <c r="DJ10" s="100" t="s">
        <v>43</v>
      </c>
      <c r="DK10" s="101">
        <v>59</v>
      </c>
      <c r="DN10" s="100" t="s">
        <v>43</v>
      </c>
      <c r="DO10" s="101">
        <v>27</v>
      </c>
      <c r="DR10" s="100" t="s">
        <v>43</v>
      </c>
      <c r="DS10" s="101">
        <v>53</v>
      </c>
      <c r="DV10" s="100" t="s">
        <v>43</v>
      </c>
      <c r="DW10" s="101">
        <v>38</v>
      </c>
      <c r="DZ10" s="100" t="s">
        <v>43</v>
      </c>
      <c r="EA10" s="101">
        <v>43</v>
      </c>
      <c r="ED10" s="100" t="s">
        <v>43</v>
      </c>
      <c r="EE10" s="101">
        <v>16</v>
      </c>
      <c r="EH10" s="100" t="s">
        <v>43</v>
      </c>
      <c r="EI10" s="101">
        <v>68</v>
      </c>
      <c r="EK10" s="100" t="s">
        <v>43</v>
      </c>
      <c r="EL10" s="101">
        <v>26</v>
      </c>
      <c r="EO10" s="100" t="s">
        <v>43</v>
      </c>
      <c r="EP10" s="101">
        <v>6</v>
      </c>
      <c r="ES10" s="100" t="s">
        <v>43</v>
      </c>
      <c r="ET10" s="101">
        <v>0.16</v>
      </c>
      <c r="EW10" s="100" t="s">
        <v>151</v>
      </c>
      <c r="EX10" s="101">
        <v>0</v>
      </c>
      <c r="FA10" s="100" t="s">
        <v>245</v>
      </c>
      <c r="FB10" s="101">
        <v>54</v>
      </c>
    </row>
    <row r="11" spans="2:158" x14ac:dyDescent="0.25">
      <c r="G11" s="100" t="s">
        <v>44</v>
      </c>
      <c r="H11" s="101">
        <v>20</v>
      </c>
      <c r="J11" s="8"/>
      <c r="K11" s="100" t="s">
        <v>152</v>
      </c>
      <c r="L11" s="101">
        <v>78</v>
      </c>
      <c r="M11" s="8"/>
      <c r="N11" s="8"/>
      <c r="O11" s="102" t="s">
        <v>44</v>
      </c>
      <c r="P11" s="101">
        <v>7</v>
      </c>
      <c r="Q11" s="8"/>
      <c r="R11" s="8"/>
      <c r="S11" s="100" t="s">
        <v>44</v>
      </c>
      <c r="T11" s="101">
        <v>53</v>
      </c>
      <c r="W11" s="100" t="s">
        <v>44</v>
      </c>
      <c r="X11" s="101">
        <v>31</v>
      </c>
      <c r="AA11" s="100" t="s">
        <v>44</v>
      </c>
      <c r="AB11" s="101">
        <v>28</v>
      </c>
      <c r="AE11" s="100" t="s">
        <v>152</v>
      </c>
      <c r="AF11" s="101">
        <v>6</v>
      </c>
      <c r="AI11" s="100" t="s">
        <v>152</v>
      </c>
      <c r="AJ11" s="101">
        <v>0</v>
      </c>
      <c r="AM11" s="100" t="s">
        <v>152</v>
      </c>
      <c r="AN11" s="101">
        <v>0</v>
      </c>
      <c r="AQ11" s="100" t="s">
        <v>44</v>
      </c>
      <c r="AR11" s="101">
        <v>34</v>
      </c>
      <c r="AU11" s="100" t="s">
        <v>152</v>
      </c>
      <c r="AV11" s="101">
        <v>45</v>
      </c>
      <c r="AY11" s="100" t="s">
        <v>44</v>
      </c>
      <c r="AZ11" s="101">
        <v>44</v>
      </c>
      <c r="BC11" s="100" t="s">
        <v>44</v>
      </c>
      <c r="BD11" s="101">
        <v>57</v>
      </c>
      <c r="BF11" s="100" t="s">
        <v>44</v>
      </c>
      <c r="BG11" s="101">
        <v>32</v>
      </c>
      <c r="BJ11" s="100" t="s">
        <v>44</v>
      </c>
      <c r="BK11" s="101">
        <v>62</v>
      </c>
      <c r="BN11" s="100" t="s">
        <v>152</v>
      </c>
      <c r="BO11" s="101">
        <v>15</v>
      </c>
      <c r="BR11" s="100" t="s">
        <v>152</v>
      </c>
      <c r="BS11" s="101">
        <v>24</v>
      </c>
      <c r="BV11" s="100" t="s">
        <v>152</v>
      </c>
      <c r="BW11" s="101">
        <v>56</v>
      </c>
      <c r="BZ11" s="100" t="s">
        <v>152</v>
      </c>
      <c r="CA11" s="101">
        <v>46</v>
      </c>
      <c r="CD11" s="100" t="s">
        <v>44</v>
      </c>
      <c r="CE11" s="101">
        <v>14</v>
      </c>
      <c r="CH11" s="100" t="s">
        <v>44</v>
      </c>
      <c r="CI11" s="101">
        <v>22</v>
      </c>
      <c r="CL11" s="100" t="s">
        <v>44</v>
      </c>
      <c r="CM11" s="101">
        <v>41</v>
      </c>
      <c r="CP11" s="100" t="s">
        <v>152</v>
      </c>
      <c r="CQ11" s="101">
        <v>58</v>
      </c>
      <c r="CT11" s="100" t="s">
        <v>44</v>
      </c>
      <c r="CU11" s="101">
        <v>61</v>
      </c>
      <c r="CX11" s="100" t="s">
        <v>152</v>
      </c>
      <c r="CY11" s="101">
        <v>44</v>
      </c>
      <c r="DB11" s="100" t="s">
        <v>44</v>
      </c>
      <c r="DC11" s="101">
        <v>57</v>
      </c>
      <c r="DF11" s="100" t="s">
        <v>44</v>
      </c>
      <c r="DG11" s="101">
        <v>18</v>
      </c>
      <c r="DJ11" s="100" t="s">
        <v>44</v>
      </c>
      <c r="DK11" s="101">
        <v>57</v>
      </c>
      <c r="DN11" s="100" t="s">
        <v>44</v>
      </c>
      <c r="DO11" s="101">
        <v>27</v>
      </c>
      <c r="DR11" s="100" t="s">
        <v>44</v>
      </c>
      <c r="DS11" s="101">
        <v>46</v>
      </c>
      <c r="DV11" s="100" t="s">
        <v>44</v>
      </c>
      <c r="DW11" s="101">
        <v>39</v>
      </c>
      <c r="DZ11" s="100" t="s">
        <v>44</v>
      </c>
      <c r="EA11" s="101">
        <v>35</v>
      </c>
      <c r="ED11" s="100" t="s">
        <v>44</v>
      </c>
      <c r="EE11" s="101">
        <v>15</v>
      </c>
      <c r="EH11" s="100" t="s">
        <v>44</v>
      </c>
      <c r="EI11" s="101">
        <v>71</v>
      </c>
      <c r="EK11" s="100" t="s">
        <v>44</v>
      </c>
      <c r="EL11" s="101">
        <v>25</v>
      </c>
      <c r="EO11" s="100" t="s">
        <v>44</v>
      </c>
      <c r="EP11" s="101">
        <v>5</v>
      </c>
      <c r="ES11" s="100" t="s">
        <v>44</v>
      </c>
      <c r="ET11" s="101">
        <v>0.11</v>
      </c>
      <c r="EW11" s="100" t="s">
        <v>152</v>
      </c>
      <c r="EX11" s="101">
        <v>0</v>
      </c>
      <c r="FA11" s="100" t="s">
        <v>246</v>
      </c>
      <c r="FB11" s="101">
        <v>59</v>
      </c>
    </row>
    <row r="12" spans="2:158" x14ac:dyDescent="0.25">
      <c r="G12" s="100" t="s">
        <v>45</v>
      </c>
      <c r="H12" s="101">
        <v>23</v>
      </c>
      <c r="J12" s="8"/>
      <c r="K12" s="100" t="s">
        <v>153</v>
      </c>
      <c r="L12" s="101">
        <v>61</v>
      </c>
      <c r="M12" s="8"/>
      <c r="N12" s="8"/>
      <c r="O12" s="102" t="s">
        <v>45</v>
      </c>
      <c r="P12" s="101">
        <v>7</v>
      </c>
      <c r="Q12" s="8"/>
      <c r="R12" s="8"/>
      <c r="S12" s="100" t="s">
        <v>45</v>
      </c>
      <c r="T12" s="101">
        <v>61</v>
      </c>
      <c r="W12" s="100" t="s">
        <v>45</v>
      </c>
      <c r="X12" s="101">
        <v>34</v>
      </c>
      <c r="AA12" s="100" t="s">
        <v>45</v>
      </c>
      <c r="AB12" s="101">
        <v>30</v>
      </c>
      <c r="AE12" s="100" t="s">
        <v>153</v>
      </c>
      <c r="AF12" s="101">
        <v>8</v>
      </c>
      <c r="AI12" s="100" t="s">
        <v>153</v>
      </c>
      <c r="AJ12" s="101">
        <v>0</v>
      </c>
      <c r="AM12" s="100" t="s">
        <v>153</v>
      </c>
      <c r="AN12" s="101">
        <v>0</v>
      </c>
      <c r="AQ12" s="100" t="s">
        <v>45</v>
      </c>
      <c r="AR12" s="101">
        <v>53</v>
      </c>
      <c r="AU12" s="100" t="s">
        <v>153</v>
      </c>
      <c r="AV12" s="101">
        <v>38</v>
      </c>
      <c r="AY12" s="100" t="s">
        <v>45</v>
      </c>
      <c r="AZ12" s="101">
        <v>45</v>
      </c>
      <c r="BC12" s="100" t="s">
        <v>45</v>
      </c>
      <c r="BD12" s="101">
        <v>64</v>
      </c>
      <c r="BF12" s="100" t="s">
        <v>45</v>
      </c>
      <c r="BG12" s="101">
        <v>33</v>
      </c>
      <c r="BJ12" s="100" t="s">
        <v>45</v>
      </c>
      <c r="BK12" s="101">
        <v>59</v>
      </c>
      <c r="BN12" s="100" t="s">
        <v>153</v>
      </c>
      <c r="BO12" s="101">
        <v>19</v>
      </c>
      <c r="BR12" s="100" t="s">
        <v>153</v>
      </c>
      <c r="BS12" s="101">
        <v>25</v>
      </c>
      <c r="BV12" s="100" t="s">
        <v>153</v>
      </c>
      <c r="BW12" s="101">
        <v>0</v>
      </c>
      <c r="BZ12" s="100" t="s">
        <v>153</v>
      </c>
      <c r="CA12" s="101">
        <v>57</v>
      </c>
      <c r="CD12" s="100" t="s">
        <v>45</v>
      </c>
      <c r="CE12" s="101">
        <v>15</v>
      </c>
      <c r="CH12" s="100" t="s">
        <v>45</v>
      </c>
      <c r="CI12" s="101">
        <v>21</v>
      </c>
      <c r="CL12" s="100" t="s">
        <v>45</v>
      </c>
      <c r="CM12" s="101">
        <v>43</v>
      </c>
      <c r="CP12" s="100" t="s">
        <v>153</v>
      </c>
      <c r="CQ12" s="101">
        <v>63</v>
      </c>
      <c r="CT12" s="100" t="s">
        <v>45</v>
      </c>
      <c r="CU12" s="101">
        <v>53</v>
      </c>
      <c r="CX12" s="100" t="s">
        <v>153</v>
      </c>
      <c r="CY12" s="101">
        <v>45</v>
      </c>
      <c r="DB12" s="100" t="s">
        <v>45</v>
      </c>
      <c r="DC12" s="101">
        <v>36</v>
      </c>
      <c r="DF12" s="100" t="s">
        <v>45</v>
      </c>
      <c r="DG12" s="101">
        <v>28</v>
      </c>
      <c r="DJ12" s="100" t="s">
        <v>45</v>
      </c>
      <c r="DK12" s="101">
        <v>60</v>
      </c>
      <c r="DN12" s="100" t="s">
        <v>45</v>
      </c>
      <c r="DO12" s="101">
        <v>28</v>
      </c>
      <c r="DR12" s="100" t="s">
        <v>45</v>
      </c>
      <c r="DS12" s="101">
        <v>57</v>
      </c>
      <c r="DV12" s="100" t="s">
        <v>45</v>
      </c>
      <c r="DW12" s="101">
        <v>55</v>
      </c>
      <c r="DZ12" s="100" t="s">
        <v>45</v>
      </c>
      <c r="EA12" s="101">
        <v>39</v>
      </c>
      <c r="ED12" s="100" t="s">
        <v>45</v>
      </c>
      <c r="EE12" s="101">
        <v>14</v>
      </c>
      <c r="EH12" s="100" t="s">
        <v>45</v>
      </c>
      <c r="EI12" s="101">
        <v>61</v>
      </c>
      <c r="EK12" s="100" t="s">
        <v>45</v>
      </c>
      <c r="EL12" s="101">
        <v>25</v>
      </c>
      <c r="EO12" s="100" t="s">
        <v>45</v>
      </c>
      <c r="EP12" s="101">
        <v>5</v>
      </c>
      <c r="ES12" s="100" t="s">
        <v>45</v>
      </c>
      <c r="ET12" s="101">
        <v>0.1</v>
      </c>
      <c r="EW12" s="100" t="s">
        <v>153</v>
      </c>
      <c r="EX12" s="101">
        <v>0</v>
      </c>
      <c r="FA12" s="100" t="s">
        <v>247</v>
      </c>
      <c r="FB12" s="101">
        <v>57</v>
      </c>
    </row>
    <row r="13" spans="2:158" x14ac:dyDescent="0.25">
      <c r="G13" s="100" t="s">
        <v>46</v>
      </c>
      <c r="H13" s="101">
        <v>24</v>
      </c>
      <c r="J13" s="8"/>
      <c r="K13" s="100" t="s">
        <v>154</v>
      </c>
      <c r="L13" s="101">
        <v>48</v>
      </c>
      <c r="M13" s="8"/>
      <c r="N13" s="8"/>
      <c r="O13" s="102" t="s">
        <v>46</v>
      </c>
      <c r="P13" s="101">
        <v>6</v>
      </c>
      <c r="Q13" s="8"/>
      <c r="R13" s="8"/>
      <c r="S13" s="100" t="s">
        <v>46</v>
      </c>
      <c r="T13" s="101">
        <v>62</v>
      </c>
      <c r="W13" s="100" t="s">
        <v>46</v>
      </c>
      <c r="X13" s="101">
        <v>32</v>
      </c>
      <c r="AA13" s="100" t="s">
        <v>46</v>
      </c>
      <c r="AB13" s="101">
        <v>27</v>
      </c>
      <c r="AE13" s="100" t="s">
        <v>154</v>
      </c>
      <c r="AF13" s="101">
        <v>7</v>
      </c>
      <c r="AI13" s="100" t="s">
        <v>154</v>
      </c>
      <c r="AJ13" s="101">
        <v>0</v>
      </c>
      <c r="AM13" s="100" t="s">
        <v>154</v>
      </c>
      <c r="AN13" s="101">
        <v>0</v>
      </c>
      <c r="AQ13" s="100" t="s">
        <v>46</v>
      </c>
      <c r="AR13" s="101">
        <v>61</v>
      </c>
      <c r="AU13" s="100" t="s">
        <v>154</v>
      </c>
      <c r="AV13" s="101">
        <v>0</v>
      </c>
      <c r="AY13" s="100" t="s">
        <v>46</v>
      </c>
      <c r="AZ13" s="101">
        <v>41</v>
      </c>
      <c r="BC13" s="100" t="s">
        <v>46</v>
      </c>
      <c r="BD13" s="101">
        <v>66</v>
      </c>
      <c r="BF13" s="100" t="s">
        <v>46</v>
      </c>
      <c r="BG13" s="101">
        <v>33</v>
      </c>
      <c r="BJ13" s="100" t="s">
        <v>46</v>
      </c>
      <c r="BK13" s="101">
        <v>42</v>
      </c>
      <c r="BN13" s="100" t="s">
        <v>154</v>
      </c>
      <c r="BO13" s="101">
        <v>9</v>
      </c>
      <c r="BR13" s="100" t="s">
        <v>154</v>
      </c>
      <c r="BS13" s="101">
        <v>11</v>
      </c>
      <c r="BV13" s="100" t="s">
        <v>154</v>
      </c>
      <c r="BW13" s="101">
        <v>0</v>
      </c>
      <c r="BZ13" s="100" t="s">
        <v>154</v>
      </c>
      <c r="CA13" s="101">
        <v>30</v>
      </c>
      <c r="CD13" s="100" t="s">
        <v>46</v>
      </c>
      <c r="CE13" s="101">
        <v>16</v>
      </c>
      <c r="CH13" s="100" t="s">
        <v>46</v>
      </c>
      <c r="CI13" s="101">
        <v>24</v>
      </c>
      <c r="CL13" s="100" t="s">
        <v>46</v>
      </c>
      <c r="CM13" s="101">
        <v>50</v>
      </c>
      <c r="CP13" s="100" t="s">
        <v>154</v>
      </c>
      <c r="CQ13" s="101">
        <v>54</v>
      </c>
      <c r="CT13" s="100" t="s">
        <v>46</v>
      </c>
      <c r="CU13" s="101">
        <v>33</v>
      </c>
      <c r="CX13" s="100" t="s">
        <v>154</v>
      </c>
      <c r="CY13" s="101">
        <v>43</v>
      </c>
      <c r="DB13" s="100" t="s">
        <v>46</v>
      </c>
      <c r="DC13" s="101">
        <v>44</v>
      </c>
      <c r="DF13" s="100" t="s">
        <v>46</v>
      </c>
      <c r="DG13" s="101">
        <v>35</v>
      </c>
      <c r="DJ13" s="100" t="s">
        <v>46</v>
      </c>
      <c r="DK13" s="101">
        <v>61</v>
      </c>
      <c r="DN13" s="100" t="s">
        <v>46</v>
      </c>
      <c r="DO13" s="101">
        <v>29</v>
      </c>
      <c r="DR13" s="100" t="s">
        <v>46</v>
      </c>
      <c r="DS13" s="101">
        <v>67</v>
      </c>
      <c r="DV13" s="100" t="s">
        <v>46</v>
      </c>
      <c r="DW13" s="101">
        <v>32</v>
      </c>
      <c r="DZ13" s="100" t="s">
        <v>46</v>
      </c>
      <c r="EA13" s="101">
        <v>36</v>
      </c>
      <c r="ED13" s="100" t="s">
        <v>46</v>
      </c>
      <c r="EE13" s="101">
        <v>13</v>
      </c>
      <c r="EH13" s="100" t="s">
        <v>46</v>
      </c>
      <c r="EI13" s="101">
        <v>61</v>
      </c>
      <c r="EK13" s="100" t="s">
        <v>46</v>
      </c>
      <c r="EL13" s="101">
        <v>23</v>
      </c>
      <c r="EO13" s="100" t="s">
        <v>46</v>
      </c>
      <c r="EP13" s="101">
        <v>5</v>
      </c>
      <c r="ES13" s="100" t="s">
        <v>46</v>
      </c>
      <c r="ET13" s="101">
        <v>0.1</v>
      </c>
      <c r="EW13" s="100" t="s">
        <v>154</v>
      </c>
      <c r="EX13" s="101">
        <v>0</v>
      </c>
      <c r="FA13" s="100" t="s">
        <v>248</v>
      </c>
      <c r="FB13" s="101">
        <v>57</v>
      </c>
    </row>
    <row r="14" spans="2:158" x14ac:dyDescent="0.25">
      <c r="G14" s="100" t="s">
        <v>47</v>
      </c>
      <c r="H14" s="101">
        <v>23</v>
      </c>
      <c r="J14" s="8"/>
      <c r="K14" s="100" t="s">
        <v>155</v>
      </c>
      <c r="L14" s="101">
        <v>29</v>
      </c>
      <c r="M14" s="8"/>
      <c r="N14" s="8"/>
      <c r="O14" s="102" t="s">
        <v>47</v>
      </c>
      <c r="P14" s="101">
        <v>7</v>
      </c>
      <c r="Q14" s="8"/>
      <c r="R14" s="8"/>
      <c r="S14" s="100" t="s">
        <v>47</v>
      </c>
      <c r="T14" s="101">
        <v>63</v>
      </c>
      <c r="W14" s="100" t="s">
        <v>47</v>
      </c>
      <c r="X14" s="101">
        <v>31</v>
      </c>
      <c r="AA14" s="100" t="s">
        <v>47</v>
      </c>
      <c r="AB14" s="101">
        <v>30</v>
      </c>
      <c r="AE14" s="100" t="s">
        <v>155</v>
      </c>
      <c r="AF14" s="101">
        <v>4</v>
      </c>
      <c r="AI14" s="100" t="s">
        <v>155</v>
      </c>
      <c r="AJ14" s="101">
        <v>0</v>
      </c>
      <c r="AM14" s="100" t="s">
        <v>155</v>
      </c>
      <c r="AN14" s="101">
        <v>0</v>
      </c>
      <c r="AQ14" s="100" t="s">
        <v>47</v>
      </c>
      <c r="AR14" s="101">
        <v>34</v>
      </c>
      <c r="AU14" s="100" t="s">
        <v>155</v>
      </c>
      <c r="AV14" s="101">
        <v>0</v>
      </c>
      <c r="AY14" s="100" t="s">
        <v>47</v>
      </c>
      <c r="AZ14" s="101">
        <v>41</v>
      </c>
      <c r="BC14" s="100" t="s">
        <v>47</v>
      </c>
      <c r="BD14" s="101">
        <v>61</v>
      </c>
      <c r="BF14" s="100" t="s">
        <v>47</v>
      </c>
      <c r="BG14" s="101">
        <v>33</v>
      </c>
      <c r="BJ14" s="100" t="s">
        <v>47</v>
      </c>
      <c r="BK14" s="101">
        <v>54</v>
      </c>
      <c r="BN14" s="100" t="s">
        <v>155</v>
      </c>
      <c r="BO14" s="101">
        <v>12</v>
      </c>
      <c r="BR14" s="100" t="s">
        <v>155</v>
      </c>
      <c r="BS14" s="101">
        <v>10</v>
      </c>
      <c r="BV14" s="100" t="s">
        <v>155</v>
      </c>
      <c r="BW14" s="101">
        <v>0</v>
      </c>
      <c r="BZ14" s="100" t="s">
        <v>155</v>
      </c>
      <c r="CA14" s="101">
        <v>30</v>
      </c>
      <c r="CD14" s="100" t="s">
        <v>47</v>
      </c>
      <c r="CE14" s="101">
        <v>15</v>
      </c>
      <c r="CH14" s="100" t="s">
        <v>47</v>
      </c>
      <c r="CI14" s="101">
        <v>23</v>
      </c>
      <c r="CL14" s="100" t="s">
        <v>47</v>
      </c>
      <c r="CM14" s="101">
        <v>48</v>
      </c>
      <c r="CP14" s="100" t="s">
        <v>155</v>
      </c>
      <c r="CQ14" s="101">
        <v>69</v>
      </c>
      <c r="CT14" s="100" t="s">
        <v>47</v>
      </c>
      <c r="CU14" s="101">
        <v>41</v>
      </c>
      <c r="CX14" s="100" t="s">
        <v>155</v>
      </c>
      <c r="CY14" s="101">
        <v>57</v>
      </c>
      <c r="DB14" s="100" t="s">
        <v>47</v>
      </c>
      <c r="DC14" s="101">
        <v>38</v>
      </c>
      <c r="DF14" s="100" t="s">
        <v>47</v>
      </c>
      <c r="DG14" s="101">
        <v>24</v>
      </c>
      <c r="DJ14" s="100" t="s">
        <v>47</v>
      </c>
      <c r="DK14" s="101">
        <v>58</v>
      </c>
      <c r="DN14" s="100" t="s">
        <v>47</v>
      </c>
      <c r="DO14" s="101">
        <v>26</v>
      </c>
      <c r="DR14" s="100" t="s">
        <v>47</v>
      </c>
      <c r="DS14" s="101">
        <v>51</v>
      </c>
      <c r="DV14" s="100" t="s">
        <v>47</v>
      </c>
      <c r="DW14" s="101">
        <v>42</v>
      </c>
      <c r="DZ14" s="100" t="s">
        <v>47</v>
      </c>
      <c r="EA14" s="101">
        <v>29</v>
      </c>
      <c r="ED14" s="100" t="s">
        <v>47</v>
      </c>
      <c r="EE14" s="101">
        <v>13</v>
      </c>
      <c r="EH14" s="100" t="s">
        <v>47</v>
      </c>
      <c r="EI14" s="101">
        <v>61</v>
      </c>
      <c r="EK14" s="100" t="s">
        <v>47</v>
      </c>
      <c r="EL14" s="101">
        <v>24</v>
      </c>
      <c r="EO14" s="100" t="s">
        <v>47</v>
      </c>
      <c r="EP14" s="101">
        <v>4</v>
      </c>
      <c r="ES14" s="100" t="s">
        <v>47</v>
      </c>
      <c r="ET14" s="101">
        <v>0.1</v>
      </c>
      <c r="EW14" s="100" t="s">
        <v>155</v>
      </c>
      <c r="EX14" s="101">
        <v>0</v>
      </c>
      <c r="FA14" s="100" t="s">
        <v>249</v>
      </c>
      <c r="FB14" s="101">
        <v>61</v>
      </c>
    </row>
    <row r="15" spans="2:158" x14ac:dyDescent="0.25">
      <c r="G15" s="100" t="s">
        <v>48</v>
      </c>
      <c r="H15" s="101">
        <v>25</v>
      </c>
      <c r="J15" s="8"/>
      <c r="K15" s="100" t="s">
        <v>156</v>
      </c>
      <c r="L15" s="101">
        <v>34</v>
      </c>
      <c r="M15" s="8"/>
      <c r="N15" s="8"/>
      <c r="O15" s="102" t="s">
        <v>48</v>
      </c>
      <c r="P15" s="101">
        <v>6</v>
      </c>
      <c r="Q15" s="8"/>
      <c r="R15" s="8"/>
      <c r="S15" s="100" t="s">
        <v>48</v>
      </c>
      <c r="T15" s="101">
        <v>63</v>
      </c>
      <c r="W15" s="100" t="s">
        <v>48</v>
      </c>
      <c r="X15" s="101">
        <v>33</v>
      </c>
      <c r="AA15" s="100" t="s">
        <v>48</v>
      </c>
      <c r="AB15" s="101">
        <v>30</v>
      </c>
      <c r="AE15" s="100" t="s">
        <v>156</v>
      </c>
      <c r="AF15" s="101">
        <v>4</v>
      </c>
      <c r="AI15" s="100" t="s">
        <v>156</v>
      </c>
      <c r="AJ15" s="101">
        <v>0</v>
      </c>
      <c r="AM15" s="100" t="s">
        <v>156</v>
      </c>
      <c r="AN15" s="101">
        <v>36</v>
      </c>
      <c r="AQ15" s="100" t="s">
        <v>48</v>
      </c>
      <c r="AR15" s="101">
        <v>50</v>
      </c>
      <c r="AU15" s="100" t="s">
        <v>156</v>
      </c>
      <c r="AV15" s="101">
        <v>0</v>
      </c>
      <c r="AY15" s="100" t="s">
        <v>48</v>
      </c>
      <c r="AZ15" s="101">
        <v>41</v>
      </c>
      <c r="BC15" s="100" t="s">
        <v>48</v>
      </c>
      <c r="BD15" s="101">
        <v>61</v>
      </c>
      <c r="BF15" s="100" t="s">
        <v>48</v>
      </c>
      <c r="BG15" s="101">
        <v>39</v>
      </c>
      <c r="BJ15" s="100" t="s">
        <v>48</v>
      </c>
      <c r="BK15" s="101">
        <v>52</v>
      </c>
      <c r="BN15" s="100" t="s">
        <v>156</v>
      </c>
      <c r="BO15" s="101">
        <v>12</v>
      </c>
      <c r="BR15" s="100" t="s">
        <v>156</v>
      </c>
      <c r="BS15" s="101">
        <v>10</v>
      </c>
      <c r="BV15" s="100" t="s">
        <v>156</v>
      </c>
      <c r="BW15" s="101">
        <v>0</v>
      </c>
      <c r="BZ15" s="100" t="s">
        <v>156</v>
      </c>
      <c r="CA15" s="101">
        <v>31</v>
      </c>
      <c r="CD15" s="100" t="s">
        <v>48</v>
      </c>
      <c r="CE15" s="101">
        <v>15</v>
      </c>
      <c r="CH15" s="100" t="s">
        <v>48</v>
      </c>
      <c r="CI15" s="101">
        <v>32</v>
      </c>
      <c r="CL15" s="100" t="s">
        <v>48</v>
      </c>
      <c r="CM15" s="101">
        <v>58</v>
      </c>
      <c r="CP15" s="100" t="s">
        <v>156</v>
      </c>
      <c r="CQ15" s="101">
        <v>100</v>
      </c>
      <c r="CT15" s="100" t="s">
        <v>48</v>
      </c>
      <c r="CU15" s="101">
        <v>33</v>
      </c>
      <c r="CX15" s="100" t="s">
        <v>156</v>
      </c>
      <c r="CY15" s="101">
        <v>41</v>
      </c>
      <c r="DB15" s="100" t="s">
        <v>48</v>
      </c>
      <c r="DC15" s="101">
        <v>46</v>
      </c>
      <c r="DF15" s="100" t="s">
        <v>48</v>
      </c>
      <c r="DG15" s="101">
        <v>38</v>
      </c>
      <c r="DJ15" s="100" t="s">
        <v>48</v>
      </c>
      <c r="DK15" s="101">
        <v>61</v>
      </c>
      <c r="DN15" s="100" t="s">
        <v>48</v>
      </c>
      <c r="DO15" s="101">
        <v>30</v>
      </c>
      <c r="DR15" s="100" t="s">
        <v>48</v>
      </c>
      <c r="DS15" s="101">
        <v>47</v>
      </c>
      <c r="DV15" s="100" t="s">
        <v>48</v>
      </c>
      <c r="DW15" s="101">
        <v>41</v>
      </c>
      <c r="DZ15" s="100" t="s">
        <v>48</v>
      </c>
      <c r="EA15" s="101">
        <v>44</v>
      </c>
      <c r="ED15" s="100" t="s">
        <v>48</v>
      </c>
      <c r="EE15" s="101">
        <v>14</v>
      </c>
      <c r="EH15" s="100" t="s">
        <v>48</v>
      </c>
      <c r="EI15" s="101">
        <v>63</v>
      </c>
      <c r="EK15" s="100" t="s">
        <v>48</v>
      </c>
      <c r="EL15" s="101">
        <v>28</v>
      </c>
      <c r="EO15" s="100" t="s">
        <v>48</v>
      </c>
      <c r="EP15" s="101">
        <v>6</v>
      </c>
      <c r="ES15" s="100" t="s">
        <v>48</v>
      </c>
      <c r="ET15" s="101">
        <v>0.1</v>
      </c>
      <c r="EW15" s="100" t="s">
        <v>156</v>
      </c>
      <c r="EX15" s="101">
        <v>36</v>
      </c>
      <c r="FA15" s="100" t="s">
        <v>250</v>
      </c>
      <c r="FB15" s="101">
        <v>61</v>
      </c>
    </row>
    <row r="16" spans="2:158" x14ac:dyDescent="0.25">
      <c r="G16" s="100" t="s">
        <v>49</v>
      </c>
      <c r="H16" s="101">
        <v>29</v>
      </c>
      <c r="J16" s="8"/>
      <c r="K16" s="100" t="s">
        <v>157</v>
      </c>
      <c r="L16" s="101">
        <v>32</v>
      </c>
      <c r="M16" s="8"/>
      <c r="N16" s="8"/>
      <c r="O16" s="102" t="s">
        <v>49</v>
      </c>
      <c r="P16" s="101">
        <v>10</v>
      </c>
      <c r="Q16" s="8"/>
      <c r="R16" s="8"/>
      <c r="S16" s="100" t="s">
        <v>49</v>
      </c>
      <c r="T16" s="101">
        <v>58</v>
      </c>
      <c r="W16" s="100" t="s">
        <v>49</v>
      </c>
      <c r="X16" s="101">
        <v>31</v>
      </c>
      <c r="AA16" s="100" t="s">
        <v>49</v>
      </c>
      <c r="AB16" s="101">
        <v>37</v>
      </c>
      <c r="AE16" s="100" t="s">
        <v>157</v>
      </c>
      <c r="AF16" s="101">
        <v>5</v>
      </c>
      <c r="AI16" s="100" t="s">
        <v>157</v>
      </c>
      <c r="AJ16" s="101">
        <v>0</v>
      </c>
      <c r="AM16" s="100" t="s">
        <v>157</v>
      </c>
      <c r="AN16" s="101">
        <v>42</v>
      </c>
      <c r="AQ16" s="100" t="s">
        <v>49</v>
      </c>
      <c r="AR16" s="101">
        <v>52</v>
      </c>
      <c r="AU16" s="100" t="s">
        <v>157</v>
      </c>
      <c r="AV16" s="101">
        <v>0</v>
      </c>
      <c r="AY16" s="100" t="s">
        <v>49</v>
      </c>
      <c r="AZ16" s="101">
        <v>45</v>
      </c>
      <c r="BC16" s="100" t="s">
        <v>49</v>
      </c>
      <c r="BD16" s="101">
        <v>62</v>
      </c>
      <c r="BF16" s="100" t="s">
        <v>49</v>
      </c>
      <c r="BG16" s="101">
        <v>38</v>
      </c>
      <c r="BJ16" s="100" t="s">
        <v>49</v>
      </c>
      <c r="BK16" s="101">
        <v>61</v>
      </c>
      <c r="BN16" s="100" t="s">
        <v>157</v>
      </c>
      <c r="BO16" s="101">
        <v>17</v>
      </c>
      <c r="BR16" s="100" t="s">
        <v>157</v>
      </c>
      <c r="BS16" s="101">
        <v>16</v>
      </c>
      <c r="BV16" s="100" t="s">
        <v>157</v>
      </c>
      <c r="BW16" s="101">
        <v>0</v>
      </c>
      <c r="BZ16" s="100" t="s">
        <v>157</v>
      </c>
      <c r="CA16" s="101">
        <v>31</v>
      </c>
      <c r="CD16" s="100" t="s">
        <v>49</v>
      </c>
      <c r="CE16" s="101">
        <v>16</v>
      </c>
      <c r="CH16" s="100" t="s">
        <v>49</v>
      </c>
      <c r="CI16" s="101">
        <v>25</v>
      </c>
      <c r="CL16" s="100" t="s">
        <v>49</v>
      </c>
      <c r="CM16" s="101">
        <v>60</v>
      </c>
      <c r="CP16" s="100" t="s">
        <v>157</v>
      </c>
      <c r="CQ16" s="101">
        <v>78</v>
      </c>
      <c r="CT16" s="100" t="s">
        <v>49</v>
      </c>
      <c r="CU16" s="101">
        <v>39</v>
      </c>
      <c r="CX16" s="100" t="s">
        <v>157</v>
      </c>
      <c r="CY16" s="101">
        <v>43</v>
      </c>
      <c r="DB16" s="100" t="s">
        <v>49</v>
      </c>
      <c r="DC16" s="101">
        <v>36</v>
      </c>
      <c r="DF16" s="100" t="s">
        <v>49</v>
      </c>
      <c r="DG16" s="101">
        <v>20</v>
      </c>
      <c r="DJ16" s="100" t="s">
        <v>49</v>
      </c>
      <c r="DK16" s="101">
        <v>65</v>
      </c>
      <c r="DN16" s="100" t="s">
        <v>49</v>
      </c>
      <c r="DO16" s="101">
        <v>29</v>
      </c>
      <c r="DR16" s="100" t="s">
        <v>49</v>
      </c>
      <c r="DS16" s="101">
        <v>60</v>
      </c>
      <c r="DV16" s="100" t="s">
        <v>49</v>
      </c>
      <c r="DW16" s="101">
        <v>48</v>
      </c>
      <c r="DZ16" s="100" t="s">
        <v>49</v>
      </c>
      <c r="EA16" s="101">
        <v>48</v>
      </c>
      <c r="ED16" s="100" t="s">
        <v>49</v>
      </c>
      <c r="EE16" s="101">
        <v>18</v>
      </c>
      <c r="EH16" s="100" t="s">
        <v>49</v>
      </c>
      <c r="EI16" s="101">
        <v>65</v>
      </c>
      <c r="EK16" s="100" t="s">
        <v>49</v>
      </c>
      <c r="EL16" s="101">
        <v>31</v>
      </c>
      <c r="EO16" s="100" t="s">
        <v>49</v>
      </c>
      <c r="EP16" s="101">
        <v>6</v>
      </c>
      <c r="ES16" s="100" t="s">
        <v>49</v>
      </c>
      <c r="ET16" s="101">
        <v>0.9</v>
      </c>
      <c r="EW16" s="100" t="s">
        <v>157</v>
      </c>
      <c r="EX16" s="101">
        <v>0</v>
      </c>
      <c r="FA16" s="100" t="s">
        <v>251</v>
      </c>
      <c r="FB16" s="101">
        <v>64</v>
      </c>
    </row>
    <row r="17" spans="7:158" x14ac:dyDescent="0.25">
      <c r="G17" s="100" t="s">
        <v>50</v>
      </c>
      <c r="H17" s="101">
        <v>24</v>
      </c>
      <c r="J17" s="8"/>
      <c r="K17" s="100" t="s">
        <v>158</v>
      </c>
      <c r="L17" s="101">
        <v>65</v>
      </c>
      <c r="M17" s="8"/>
      <c r="N17" s="8"/>
      <c r="O17" s="102" t="s">
        <v>50</v>
      </c>
      <c r="P17" s="101">
        <v>13</v>
      </c>
      <c r="Q17" s="8"/>
      <c r="R17" s="8"/>
      <c r="S17" s="100" t="s">
        <v>50</v>
      </c>
      <c r="T17" s="101">
        <v>58</v>
      </c>
      <c r="W17" s="100" t="s">
        <v>50</v>
      </c>
      <c r="X17" s="101">
        <v>33</v>
      </c>
      <c r="AA17" s="100" t="s">
        <v>50</v>
      </c>
      <c r="AB17" s="101">
        <v>30</v>
      </c>
      <c r="AE17" s="100" t="s">
        <v>158</v>
      </c>
      <c r="AF17" s="101">
        <v>7</v>
      </c>
      <c r="AI17" s="100" t="s">
        <v>158</v>
      </c>
      <c r="AJ17" s="101">
        <v>58</v>
      </c>
      <c r="AM17" s="100" t="s">
        <v>158</v>
      </c>
      <c r="AN17" s="101">
        <v>33</v>
      </c>
      <c r="AQ17" s="100" t="s">
        <v>50</v>
      </c>
      <c r="AR17" s="101">
        <v>43</v>
      </c>
      <c r="AU17" s="100" t="s">
        <v>158</v>
      </c>
      <c r="AV17" s="101">
        <v>0</v>
      </c>
      <c r="AY17" s="100" t="s">
        <v>50</v>
      </c>
      <c r="AZ17" s="101">
        <v>41</v>
      </c>
      <c r="BC17" s="100" t="s">
        <v>50</v>
      </c>
      <c r="BD17" s="101">
        <v>56</v>
      </c>
      <c r="BF17" s="100" t="s">
        <v>50</v>
      </c>
      <c r="BG17" s="101">
        <v>54</v>
      </c>
      <c r="BJ17" s="100" t="s">
        <v>50</v>
      </c>
      <c r="BK17" s="101">
        <v>67</v>
      </c>
      <c r="BN17" s="100" t="s">
        <v>158</v>
      </c>
      <c r="BO17" s="101">
        <v>14</v>
      </c>
      <c r="BR17" s="100" t="s">
        <v>158</v>
      </c>
      <c r="BS17" s="101">
        <v>20</v>
      </c>
      <c r="BV17" s="100" t="s">
        <v>158</v>
      </c>
      <c r="BW17" s="101">
        <v>49</v>
      </c>
      <c r="BZ17" s="100" t="s">
        <v>158</v>
      </c>
      <c r="CA17" s="101">
        <v>32</v>
      </c>
      <c r="CD17" s="100" t="s">
        <v>50</v>
      </c>
      <c r="CE17" s="101">
        <v>16</v>
      </c>
      <c r="CH17" s="100" t="s">
        <v>50</v>
      </c>
      <c r="CI17" s="101">
        <v>30</v>
      </c>
      <c r="CL17" s="100" t="s">
        <v>50</v>
      </c>
      <c r="CM17" s="101">
        <v>58</v>
      </c>
      <c r="CP17" s="100" t="s">
        <v>158</v>
      </c>
      <c r="CQ17" s="101">
        <v>58</v>
      </c>
      <c r="CT17" s="100" t="s">
        <v>50</v>
      </c>
      <c r="CU17" s="101">
        <v>71</v>
      </c>
      <c r="CX17" s="100" t="s">
        <v>158</v>
      </c>
      <c r="CY17" s="101">
        <v>45</v>
      </c>
      <c r="DB17" s="100" t="s">
        <v>50</v>
      </c>
      <c r="DC17" s="101">
        <v>50</v>
      </c>
      <c r="DF17" s="100" t="s">
        <v>50</v>
      </c>
      <c r="DG17" s="101">
        <v>23</v>
      </c>
      <c r="DJ17" s="100" t="s">
        <v>50</v>
      </c>
      <c r="DK17" s="101">
        <v>65</v>
      </c>
      <c r="DN17" s="100" t="s">
        <v>50</v>
      </c>
      <c r="DO17" s="101">
        <v>28</v>
      </c>
      <c r="DR17" s="100" t="s">
        <v>50</v>
      </c>
      <c r="DS17" s="101">
        <v>40</v>
      </c>
      <c r="DV17" s="100" t="s">
        <v>50</v>
      </c>
      <c r="DW17" s="101">
        <v>50</v>
      </c>
      <c r="DZ17" s="100" t="s">
        <v>50</v>
      </c>
      <c r="EA17" s="101">
        <v>30</v>
      </c>
      <c r="ED17" s="100" t="s">
        <v>50</v>
      </c>
      <c r="EE17" s="101">
        <v>14</v>
      </c>
      <c r="EH17" s="100" t="s">
        <v>50</v>
      </c>
      <c r="EI17" s="101">
        <v>60</v>
      </c>
      <c r="EK17" s="100" t="s">
        <v>50</v>
      </c>
      <c r="EL17" s="101">
        <v>31</v>
      </c>
      <c r="EO17" s="100" t="s">
        <v>50</v>
      </c>
      <c r="EP17" s="101">
        <v>9</v>
      </c>
      <c r="ES17" s="100" t="s">
        <v>50</v>
      </c>
      <c r="ET17" s="101">
        <v>0.12</v>
      </c>
      <c r="EW17" s="100" t="s">
        <v>158</v>
      </c>
      <c r="EX17" s="101">
        <v>0</v>
      </c>
      <c r="FA17" s="100" t="s">
        <v>252</v>
      </c>
      <c r="FB17" s="101">
        <v>60</v>
      </c>
    </row>
    <row r="18" spans="7:158" x14ac:dyDescent="0.25">
      <c r="G18" s="100" t="s">
        <v>51</v>
      </c>
      <c r="H18" s="101">
        <v>22</v>
      </c>
      <c r="J18" s="8"/>
      <c r="K18" s="100" t="s">
        <v>159</v>
      </c>
      <c r="L18" s="101">
        <v>45</v>
      </c>
      <c r="M18" s="8"/>
      <c r="N18" s="8"/>
      <c r="O18" s="102" t="s">
        <v>51</v>
      </c>
      <c r="P18" s="101">
        <v>11</v>
      </c>
      <c r="Q18" s="8" t="s">
        <v>146</v>
      </c>
      <c r="R18" s="8"/>
      <c r="S18" s="100" t="s">
        <v>51</v>
      </c>
      <c r="T18" s="101">
        <v>57</v>
      </c>
      <c r="W18" s="100" t="s">
        <v>51</v>
      </c>
      <c r="X18" s="101">
        <v>34</v>
      </c>
      <c r="AA18" s="100" t="s">
        <v>51</v>
      </c>
      <c r="AB18" s="101">
        <v>30</v>
      </c>
      <c r="AE18" s="100" t="s">
        <v>159</v>
      </c>
      <c r="AF18" s="101">
        <v>7</v>
      </c>
      <c r="AI18" s="100" t="s">
        <v>159</v>
      </c>
      <c r="AJ18" s="101">
        <v>62</v>
      </c>
      <c r="AM18" s="100" t="s">
        <v>159</v>
      </c>
      <c r="AN18" s="101">
        <v>33</v>
      </c>
      <c r="AQ18" s="100" t="s">
        <v>51</v>
      </c>
      <c r="AR18" s="101">
        <v>29</v>
      </c>
      <c r="AU18" s="100" t="s">
        <v>159</v>
      </c>
      <c r="AV18" s="101">
        <v>0</v>
      </c>
      <c r="AY18" s="100" t="s">
        <v>51</v>
      </c>
      <c r="AZ18" s="101">
        <v>38</v>
      </c>
      <c r="BC18" s="100" t="s">
        <v>51</v>
      </c>
      <c r="BD18" s="101">
        <v>65</v>
      </c>
      <c r="BF18" s="100" t="s">
        <v>51</v>
      </c>
      <c r="BG18" s="101">
        <v>44</v>
      </c>
      <c r="BJ18" s="100" t="s">
        <v>51</v>
      </c>
      <c r="BK18" s="101">
        <v>71</v>
      </c>
      <c r="BN18" s="100" t="s">
        <v>159</v>
      </c>
      <c r="BO18" s="101">
        <v>14</v>
      </c>
      <c r="BR18" s="100" t="s">
        <v>159</v>
      </c>
      <c r="BS18" s="101">
        <v>18</v>
      </c>
      <c r="BV18" s="100" t="s">
        <v>159</v>
      </c>
      <c r="BW18" s="101">
        <v>49</v>
      </c>
      <c r="BZ18" s="100" t="s">
        <v>159</v>
      </c>
      <c r="CA18" s="101">
        <v>39</v>
      </c>
      <c r="CD18" s="100" t="s">
        <v>51</v>
      </c>
      <c r="CE18" s="101">
        <v>15</v>
      </c>
      <c r="CH18" s="100" t="s">
        <v>51</v>
      </c>
      <c r="CI18" s="101">
        <v>23</v>
      </c>
      <c r="CL18" s="100" t="s">
        <v>51</v>
      </c>
      <c r="CM18" s="101">
        <v>53</v>
      </c>
      <c r="CP18" s="100" t="s">
        <v>159</v>
      </c>
      <c r="CQ18" s="101">
        <v>48</v>
      </c>
      <c r="CT18" s="100" t="s">
        <v>51</v>
      </c>
      <c r="CU18" s="101">
        <v>50</v>
      </c>
      <c r="CX18" s="100" t="s">
        <v>159</v>
      </c>
      <c r="CY18" s="101">
        <v>47</v>
      </c>
      <c r="DB18" s="100" t="s">
        <v>51</v>
      </c>
      <c r="DC18" s="101">
        <v>52</v>
      </c>
      <c r="DF18" s="100" t="s">
        <v>51</v>
      </c>
      <c r="DG18" s="101">
        <v>27</v>
      </c>
      <c r="DJ18" s="100" t="s">
        <v>51</v>
      </c>
      <c r="DK18" s="101">
        <v>63</v>
      </c>
      <c r="DN18" s="100" t="s">
        <v>51</v>
      </c>
      <c r="DO18" s="101">
        <v>27</v>
      </c>
      <c r="DR18" s="100" t="s">
        <v>51</v>
      </c>
      <c r="DS18" s="101">
        <v>59</v>
      </c>
      <c r="DV18" s="100" t="s">
        <v>51</v>
      </c>
      <c r="DW18" s="101">
        <v>35</v>
      </c>
      <c r="DZ18" s="100" t="s">
        <v>51</v>
      </c>
      <c r="EA18" s="101">
        <v>40</v>
      </c>
      <c r="ED18" s="100" t="s">
        <v>51</v>
      </c>
      <c r="EE18" s="101">
        <v>18</v>
      </c>
      <c r="EH18" s="100" t="s">
        <v>51</v>
      </c>
      <c r="EI18" s="101">
        <v>65</v>
      </c>
      <c r="EK18" s="100" t="s">
        <v>51</v>
      </c>
      <c r="EL18" s="101">
        <v>29</v>
      </c>
      <c r="EO18" s="100" t="s">
        <v>51</v>
      </c>
      <c r="EP18" s="101">
        <v>4</v>
      </c>
      <c r="ES18" s="100" t="s">
        <v>51</v>
      </c>
      <c r="ET18" s="101">
        <v>0.14000000000000001</v>
      </c>
      <c r="EW18" s="100" t="s">
        <v>159</v>
      </c>
      <c r="EX18" s="101">
        <v>0</v>
      </c>
      <c r="FA18" s="100" t="s">
        <v>253</v>
      </c>
      <c r="FB18" s="101">
        <v>64</v>
      </c>
    </row>
    <row r="19" spans="7:158" x14ac:dyDescent="0.25">
      <c r="G19" s="100" t="s">
        <v>52</v>
      </c>
      <c r="H19" s="101">
        <v>24</v>
      </c>
      <c r="J19" s="8"/>
      <c r="K19" s="100" t="s">
        <v>160</v>
      </c>
      <c r="L19" s="101">
        <v>39</v>
      </c>
      <c r="M19" s="8"/>
      <c r="N19" s="8"/>
      <c r="O19" s="102" t="s">
        <v>52</v>
      </c>
      <c r="P19" s="101">
        <v>8</v>
      </c>
      <c r="Q19" s="8"/>
      <c r="R19" s="8"/>
      <c r="S19" s="100" t="s">
        <v>52</v>
      </c>
      <c r="T19" s="101">
        <v>61</v>
      </c>
      <c r="W19" s="100" t="s">
        <v>52</v>
      </c>
      <c r="X19" s="101">
        <v>31</v>
      </c>
      <c r="AA19" s="100" t="s">
        <v>52</v>
      </c>
      <c r="AB19" s="101">
        <v>28</v>
      </c>
      <c r="AE19" s="100" t="s">
        <v>160</v>
      </c>
      <c r="AF19" s="101">
        <v>6</v>
      </c>
      <c r="AI19" s="100" t="s">
        <v>160</v>
      </c>
      <c r="AJ19" s="101">
        <v>66</v>
      </c>
      <c r="AM19" s="100" t="s">
        <v>160</v>
      </c>
      <c r="AN19" s="101">
        <v>34</v>
      </c>
      <c r="AQ19" s="100" t="s">
        <v>52</v>
      </c>
      <c r="AR19" s="101">
        <v>50</v>
      </c>
      <c r="AU19" s="100" t="s">
        <v>160</v>
      </c>
      <c r="AV19" s="101">
        <v>0</v>
      </c>
      <c r="AY19" s="100" t="s">
        <v>52</v>
      </c>
      <c r="AZ19" s="101">
        <v>39</v>
      </c>
      <c r="BC19" s="100" t="s">
        <v>52</v>
      </c>
      <c r="BD19" s="101">
        <v>62</v>
      </c>
      <c r="BF19" s="100" t="s">
        <v>52</v>
      </c>
      <c r="BG19" s="101">
        <v>41</v>
      </c>
      <c r="BJ19" s="100" t="s">
        <v>52</v>
      </c>
      <c r="BK19" s="101">
        <v>49</v>
      </c>
      <c r="BN19" s="100" t="s">
        <v>160</v>
      </c>
      <c r="BO19" s="101">
        <v>17</v>
      </c>
      <c r="BR19" s="100" t="s">
        <v>160</v>
      </c>
      <c r="BS19" s="101">
        <v>9</v>
      </c>
      <c r="BV19" s="100" t="s">
        <v>160</v>
      </c>
      <c r="BW19" s="101">
        <v>49</v>
      </c>
      <c r="BZ19" s="100" t="s">
        <v>160</v>
      </c>
      <c r="CA19" s="101">
        <v>35</v>
      </c>
      <c r="CD19" s="100" t="s">
        <v>52</v>
      </c>
      <c r="CE19" s="101">
        <v>16</v>
      </c>
      <c r="CH19" s="100" t="s">
        <v>52</v>
      </c>
      <c r="CI19" s="101">
        <v>29</v>
      </c>
      <c r="CL19" s="100" t="s">
        <v>52</v>
      </c>
      <c r="CM19" s="101">
        <v>53</v>
      </c>
      <c r="CP19" s="100" t="s">
        <v>160</v>
      </c>
      <c r="CQ19" s="101">
        <v>47</v>
      </c>
      <c r="CT19" s="100" t="s">
        <v>52</v>
      </c>
      <c r="CU19" s="101">
        <v>52</v>
      </c>
      <c r="CX19" s="100" t="s">
        <v>160</v>
      </c>
      <c r="CY19" s="101">
        <v>49</v>
      </c>
      <c r="DB19" s="100" t="s">
        <v>52</v>
      </c>
      <c r="DC19" s="101">
        <v>51</v>
      </c>
      <c r="DF19" s="100" t="s">
        <v>52</v>
      </c>
      <c r="DG19" s="101">
        <v>32</v>
      </c>
      <c r="DJ19" s="100" t="s">
        <v>52</v>
      </c>
      <c r="DK19" s="101">
        <v>63</v>
      </c>
      <c r="DN19" s="100" t="s">
        <v>52</v>
      </c>
      <c r="DO19" s="101">
        <v>31</v>
      </c>
      <c r="DR19" s="100" t="s">
        <v>52</v>
      </c>
      <c r="DS19" s="101">
        <v>55</v>
      </c>
      <c r="DV19" s="100" t="s">
        <v>52</v>
      </c>
      <c r="DW19" s="101">
        <v>42</v>
      </c>
      <c r="DZ19" s="100" t="s">
        <v>52</v>
      </c>
      <c r="EA19" s="101">
        <v>30</v>
      </c>
      <c r="ED19" s="100" t="s">
        <v>52</v>
      </c>
      <c r="EE19" s="101">
        <v>13</v>
      </c>
      <c r="EH19" s="100" t="s">
        <v>52</v>
      </c>
      <c r="EI19" s="101">
        <v>69</v>
      </c>
      <c r="EK19" s="100" t="s">
        <v>52</v>
      </c>
      <c r="EL19" s="101">
        <v>27</v>
      </c>
      <c r="EO19" s="100" t="s">
        <v>52</v>
      </c>
      <c r="EP19" s="101">
        <v>6</v>
      </c>
      <c r="ES19" s="100" t="s">
        <v>52</v>
      </c>
      <c r="ET19" s="101">
        <v>0.9</v>
      </c>
      <c r="EW19" s="100" t="s">
        <v>160</v>
      </c>
      <c r="EX19" s="101">
        <v>0</v>
      </c>
      <c r="FA19" s="100" t="s">
        <v>254</v>
      </c>
      <c r="FB19" s="101">
        <v>57</v>
      </c>
    </row>
    <row r="20" spans="7:158" x14ac:dyDescent="0.25">
      <c r="G20" s="100" t="s">
        <v>53</v>
      </c>
      <c r="H20" s="101">
        <v>24</v>
      </c>
      <c r="J20" s="8"/>
      <c r="K20" s="100" t="s">
        <v>161</v>
      </c>
      <c r="L20" s="101">
        <v>47</v>
      </c>
      <c r="M20" s="8"/>
      <c r="N20" s="8"/>
      <c r="O20" s="102" t="s">
        <v>53</v>
      </c>
      <c r="P20" s="101">
        <v>9</v>
      </c>
      <c r="Q20" s="8"/>
      <c r="R20" s="8"/>
      <c r="S20" s="100" t="s">
        <v>53</v>
      </c>
      <c r="T20" s="101">
        <v>59</v>
      </c>
      <c r="W20" s="100" t="s">
        <v>53</v>
      </c>
      <c r="X20" s="101">
        <v>27</v>
      </c>
      <c r="AA20" s="100" t="s">
        <v>53</v>
      </c>
      <c r="AB20" s="101">
        <v>26</v>
      </c>
      <c r="AE20" s="100" t="s">
        <v>161</v>
      </c>
      <c r="AF20" s="101">
        <v>7</v>
      </c>
      <c r="AI20" s="100" t="s">
        <v>161</v>
      </c>
      <c r="AJ20" s="101">
        <v>70</v>
      </c>
      <c r="AM20" s="100" t="s">
        <v>161</v>
      </c>
      <c r="AN20" s="101">
        <v>35</v>
      </c>
      <c r="AQ20" s="100" t="s">
        <v>53</v>
      </c>
      <c r="AR20" s="101">
        <v>25</v>
      </c>
      <c r="AU20" s="100" t="s">
        <v>161</v>
      </c>
      <c r="AV20" s="101">
        <v>0</v>
      </c>
      <c r="AY20" s="100" t="s">
        <v>53</v>
      </c>
      <c r="AZ20" s="101">
        <v>37</v>
      </c>
      <c r="BC20" s="100" t="s">
        <v>53</v>
      </c>
      <c r="BD20" s="101">
        <v>62</v>
      </c>
      <c r="BF20" s="100" t="s">
        <v>53</v>
      </c>
      <c r="BG20" s="101">
        <v>45</v>
      </c>
      <c r="BJ20" s="100" t="s">
        <v>53</v>
      </c>
      <c r="BK20" s="101">
        <v>63</v>
      </c>
      <c r="BN20" s="100" t="s">
        <v>161</v>
      </c>
      <c r="BO20" s="101">
        <v>8</v>
      </c>
      <c r="BR20" s="100" t="s">
        <v>161</v>
      </c>
      <c r="BS20" s="101">
        <v>18</v>
      </c>
      <c r="BV20" s="100" t="s">
        <v>161</v>
      </c>
      <c r="BW20" s="101">
        <v>49</v>
      </c>
      <c r="BZ20" s="100" t="s">
        <v>161</v>
      </c>
      <c r="CA20" s="101">
        <v>50</v>
      </c>
      <c r="CD20" s="100" t="s">
        <v>53</v>
      </c>
      <c r="CE20" s="101">
        <v>15</v>
      </c>
      <c r="CH20" s="100" t="s">
        <v>53</v>
      </c>
      <c r="CI20" s="101">
        <v>31</v>
      </c>
      <c r="CL20" s="100" t="s">
        <v>53</v>
      </c>
      <c r="CM20" s="101">
        <v>49</v>
      </c>
      <c r="CP20" s="100" t="s">
        <v>161</v>
      </c>
      <c r="CQ20" s="101">
        <v>47</v>
      </c>
      <c r="CT20" s="100" t="s">
        <v>53</v>
      </c>
      <c r="CU20" s="101">
        <v>48</v>
      </c>
      <c r="CX20" s="100" t="s">
        <v>161</v>
      </c>
      <c r="CY20" s="101">
        <v>38</v>
      </c>
      <c r="DB20" s="100" t="s">
        <v>53</v>
      </c>
      <c r="DC20" s="101">
        <v>51</v>
      </c>
      <c r="DF20" s="100" t="s">
        <v>53</v>
      </c>
      <c r="DG20" s="101">
        <v>36</v>
      </c>
      <c r="DJ20" s="100" t="s">
        <v>53</v>
      </c>
      <c r="DK20" s="101">
        <v>61</v>
      </c>
      <c r="DN20" s="100" t="s">
        <v>53</v>
      </c>
      <c r="DO20" s="101">
        <v>28</v>
      </c>
      <c r="DR20" s="100" t="s">
        <v>53</v>
      </c>
      <c r="DS20" s="101">
        <v>55</v>
      </c>
      <c r="DV20" s="100" t="s">
        <v>53</v>
      </c>
      <c r="DW20" s="101">
        <v>37</v>
      </c>
      <c r="DZ20" s="100" t="s">
        <v>53</v>
      </c>
      <c r="EA20" s="101">
        <v>39</v>
      </c>
      <c r="ED20" s="100" t="s">
        <v>53</v>
      </c>
      <c r="EE20" s="101">
        <v>14</v>
      </c>
      <c r="EH20" s="100" t="s">
        <v>53</v>
      </c>
      <c r="EI20" s="101">
        <v>66</v>
      </c>
      <c r="EK20" s="100" t="s">
        <v>53</v>
      </c>
      <c r="EL20" s="101">
        <v>25</v>
      </c>
      <c r="EO20" s="100" t="s">
        <v>53</v>
      </c>
      <c r="EP20" s="101">
        <v>7</v>
      </c>
      <c r="ES20" s="100" t="s">
        <v>53</v>
      </c>
      <c r="ET20" s="101">
        <v>0.9</v>
      </c>
      <c r="EW20" s="100" t="s">
        <v>161</v>
      </c>
      <c r="EX20" s="101">
        <v>0</v>
      </c>
      <c r="FA20" s="100" t="s">
        <v>255</v>
      </c>
      <c r="FB20" s="101">
        <v>55</v>
      </c>
    </row>
    <row r="21" spans="7:158" x14ac:dyDescent="0.25">
      <c r="G21" s="100" t="s">
        <v>54</v>
      </c>
      <c r="H21" s="101">
        <v>19</v>
      </c>
      <c r="J21" s="8"/>
      <c r="K21" s="100" t="s">
        <v>162</v>
      </c>
      <c r="L21" s="101">
        <v>56</v>
      </c>
      <c r="M21" s="8"/>
      <c r="N21" s="8"/>
      <c r="O21" s="102" t="s">
        <v>54</v>
      </c>
      <c r="P21" s="101">
        <v>7</v>
      </c>
      <c r="Q21" s="8"/>
      <c r="R21" s="8"/>
      <c r="S21" s="100" t="s">
        <v>54</v>
      </c>
      <c r="T21" s="101">
        <v>63</v>
      </c>
      <c r="W21" s="100" t="s">
        <v>54</v>
      </c>
      <c r="X21" s="101">
        <v>29</v>
      </c>
      <c r="AA21" s="100" t="s">
        <v>54</v>
      </c>
      <c r="AB21" s="101">
        <v>26</v>
      </c>
      <c r="AE21" s="100" t="s">
        <v>162</v>
      </c>
      <c r="AF21" s="101">
        <v>4</v>
      </c>
      <c r="AI21" s="100" t="s">
        <v>162</v>
      </c>
      <c r="AJ21" s="101">
        <v>74</v>
      </c>
      <c r="AM21" s="100" t="s">
        <v>162</v>
      </c>
      <c r="AN21" s="101">
        <v>35</v>
      </c>
      <c r="AQ21" s="100" t="s">
        <v>54</v>
      </c>
      <c r="AR21" s="101">
        <v>44</v>
      </c>
      <c r="AU21" s="100" t="s">
        <v>162</v>
      </c>
      <c r="AV21" s="101">
        <v>0</v>
      </c>
      <c r="AY21" s="100" t="s">
        <v>54</v>
      </c>
      <c r="AZ21" s="101">
        <v>35</v>
      </c>
      <c r="BC21" s="100" t="s">
        <v>54</v>
      </c>
      <c r="BD21" s="101">
        <v>60</v>
      </c>
      <c r="BF21" s="100" t="s">
        <v>54</v>
      </c>
      <c r="BG21" s="101">
        <v>29</v>
      </c>
      <c r="BJ21" s="100" t="s">
        <v>54</v>
      </c>
      <c r="BK21" s="101">
        <v>56</v>
      </c>
      <c r="BN21" s="100" t="s">
        <v>162</v>
      </c>
      <c r="BO21" s="101">
        <v>12</v>
      </c>
      <c r="BR21" s="100" t="s">
        <v>162</v>
      </c>
      <c r="BS21" s="101">
        <v>21</v>
      </c>
      <c r="BV21" s="100" t="s">
        <v>162</v>
      </c>
      <c r="BW21" s="101">
        <v>0</v>
      </c>
      <c r="BZ21" s="100" t="s">
        <v>162</v>
      </c>
      <c r="CA21" s="101">
        <v>66</v>
      </c>
      <c r="CD21" s="100" t="s">
        <v>54</v>
      </c>
      <c r="CE21" s="101">
        <v>14</v>
      </c>
      <c r="CH21" s="100" t="s">
        <v>54</v>
      </c>
      <c r="CI21" s="101">
        <v>24</v>
      </c>
      <c r="CL21" s="100" t="s">
        <v>54</v>
      </c>
      <c r="CM21" s="101">
        <v>36</v>
      </c>
      <c r="CP21" s="100" t="s">
        <v>162</v>
      </c>
      <c r="CQ21" s="101">
        <v>47</v>
      </c>
      <c r="CT21" s="100" t="s">
        <v>54</v>
      </c>
      <c r="CU21" s="101">
        <v>38</v>
      </c>
      <c r="CX21" s="100" t="s">
        <v>162</v>
      </c>
      <c r="CY21" s="101">
        <v>41</v>
      </c>
      <c r="DB21" s="100" t="s">
        <v>54</v>
      </c>
      <c r="DC21" s="101">
        <v>37</v>
      </c>
      <c r="DF21" s="100" t="s">
        <v>54</v>
      </c>
      <c r="DG21" s="101">
        <v>43</v>
      </c>
      <c r="DJ21" s="100" t="s">
        <v>54</v>
      </c>
      <c r="DK21" s="101">
        <v>49</v>
      </c>
      <c r="DN21" s="100" t="s">
        <v>54</v>
      </c>
      <c r="DO21" s="101">
        <v>22</v>
      </c>
      <c r="DR21" s="100" t="s">
        <v>54</v>
      </c>
      <c r="DS21" s="101">
        <v>50</v>
      </c>
      <c r="DV21" s="100" t="s">
        <v>54</v>
      </c>
      <c r="DW21" s="101">
        <v>54</v>
      </c>
      <c r="DZ21" s="100" t="s">
        <v>54</v>
      </c>
      <c r="EA21" s="101">
        <v>35</v>
      </c>
      <c r="ED21" s="100" t="s">
        <v>54</v>
      </c>
      <c r="EE21" s="101">
        <v>12</v>
      </c>
      <c r="EH21" s="100" t="s">
        <v>54</v>
      </c>
      <c r="EI21" s="101">
        <v>62</v>
      </c>
      <c r="EK21" s="100" t="s">
        <v>54</v>
      </c>
      <c r="EL21" s="101">
        <v>23</v>
      </c>
      <c r="EO21" s="100" t="s">
        <v>54</v>
      </c>
      <c r="EP21" s="101">
        <v>8</v>
      </c>
      <c r="ES21" s="100" t="s">
        <v>54</v>
      </c>
      <c r="ET21" s="101">
        <v>0.8</v>
      </c>
      <c r="EW21" s="100" t="s">
        <v>162</v>
      </c>
      <c r="EX21" s="101">
        <v>0</v>
      </c>
      <c r="FA21" s="100" t="s">
        <v>256</v>
      </c>
      <c r="FB21" s="101">
        <v>50</v>
      </c>
    </row>
    <row r="22" spans="7:158" x14ac:dyDescent="0.25">
      <c r="G22" s="100" t="s">
        <v>55</v>
      </c>
      <c r="H22" s="101">
        <v>21</v>
      </c>
      <c r="J22" s="8"/>
      <c r="K22" s="100" t="s">
        <v>163</v>
      </c>
      <c r="L22" s="101">
        <v>70</v>
      </c>
      <c r="M22" s="8"/>
      <c r="N22" s="8"/>
      <c r="O22" s="102" t="s">
        <v>55</v>
      </c>
      <c r="P22" s="101">
        <v>5</v>
      </c>
      <c r="Q22" s="8"/>
      <c r="R22" s="8"/>
      <c r="S22" s="100" t="s">
        <v>55</v>
      </c>
      <c r="T22" s="101">
        <v>57</v>
      </c>
      <c r="W22" s="100" t="s">
        <v>55</v>
      </c>
      <c r="X22" s="101">
        <v>25</v>
      </c>
      <c r="AA22" s="100" t="s">
        <v>55</v>
      </c>
      <c r="AB22" s="101">
        <v>27</v>
      </c>
      <c r="AE22" s="100" t="s">
        <v>163</v>
      </c>
      <c r="AF22" s="101">
        <v>7</v>
      </c>
      <c r="AI22" s="100" t="s">
        <v>163</v>
      </c>
      <c r="AJ22" s="101">
        <v>0</v>
      </c>
      <c r="AM22" s="100" t="s">
        <v>163</v>
      </c>
      <c r="AN22" s="101">
        <v>27</v>
      </c>
      <c r="AQ22" s="100" t="s">
        <v>55</v>
      </c>
      <c r="AR22" s="101">
        <v>38</v>
      </c>
      <c r="AU22" s="100" t="s">
        <v>163</v>
      </c>
      <c r="AV22" s="101">
        <v>0</v>
      </c>
      <c r="AY22" s="100" t="s">
        <v>55</v>
      </c>
      <c r="AZ22" s="101">
        <v>35</v>
      </c>
      <c r="BC22" s="100" t="s">
        <v>55</v>
      </c>
      <c r="BD22" s="101">
        <v>51</v>
      </c>
      <c r="BF22" s="100" t="s">
        <v>55</v>
      </c>
      <c r="BG22" s="101">
        <v>42</v>
      </c>
      <c r="BJ22" s="100" t="s">
        <v>55</v>
      </c>
      <c r="BK22" s="101">
        <v>55</v>
      </c>
      <c r="BN22" s="100" t="s">
        <v>163</v>
      </c>
      <c r="BO22" s="101">
        <v>17</v>
      </c>
      <c r="BR22" s="100" t="s">
        <v>163</v>
      </c>
      <c r="BS22" s="101">
        <v>17</v>
      </c>
      <c r="BV22" s="100" t="s">
        <v>163</v>
      </c>
      <c r="BW22" s="101">
        <v>0</v>
      </c>
      <c r="BZ22" s="100" t="s">
        <v>163</v>
      </c>
      <c r="CA22" s="101">
        <v>41</v>
      </c>
      <c r="CD22" s="100" t="s">
        <v>55</v>
      </c>
      <c r="CE22" s="101">
        <v>14</v>
      </c>
      <c r="CH22" s="100" t="s">
        <v>55</v>
      </c>
      <c r="CI22" s="101">
        <v>30</v>
      </c>
      <c r="CL22" s="100" t="s">
        <v>55</v>
      </c>
      <c r="CM22" s="101">
        <v>42</v>
      </c>
      <c r="CP22" s="100" t="s">
        <v>163</v>
      </c>
      <c r="CQ22" s="101">
        <v>47</v>
      </c>
      <c r="CT22" s="100" t="s">
        <v>55</v>
      </c>
      <c r="CU22" s="101">
        <v>36</v>
      </c>
      <c r="CX22" s="100" t="s">
        <v>163</v>
      </c>
      <c r="CY22" s="101">
        <v>43</v>
      </c>
      <c r="DB22" s="100" t="s">
        <v>55</v>
      </c>
      <c r="DC22" s="101">
        <v>37</v>
      </c>
      <c r="DF22" s="100" t="s">
        <v>55</v>
      </c>
      <c r="DG22" s="101">
        <v>23</v>
      </c>
      <c r="DJ22" s="100" t="s">
        <v>55</v>
      </c>
      <c r="DK22" s="101">
        <v>54</v>
      </c>
      <c r="DN22" s="100" t="s">
        <v>55</v>
      </c>
      <c r="DO22" s="101">
        <v>25</v>
      </c>
      <c r="DR22" s="100" t="s">
        <v>55</v>
      </c>
      <c r="DS22" s="101">
        <v>42</v>
      </c>
      <c r="DV22" s="100" t="s">
        <v>55</v>
      </c>
      <c r="DW22" s="101">
        <v>47</v>
      </c>
      <c r="DZ22" s="100" t="s">
        <v>55</v>
      </c>
      <c r="EA22" s="101">
        <v>31</v>
      </c>
      <c r="ED22" s="100" t="s">
        <v>55</v>
      </c>
      <c r="EE22" s="101">
        <v>12</v>
      </c>
      <c r="EH22" s="100" t="s">
        <v>55</v>
      </c>
      <c r="EI22" s="101">
        <v>65</v>
      </c>
      <c r="EK22" s="100" t="s">
        <v>55</v>
      </c>
      <c r="EL22" s="101">
        <v>24</v>
      </c>
      <c r="EO22" s="100" t="s">
        <v>55</v>
      </c>
      <c r="EP22" s="101">
        <v>6</v>
      </c>
      <c r="ES22" s="100" t="s">
        <v>55</v>
      </c>
      <c r="ET22" s="101">
        <v>0.11</v>
      </c>
      <c r="EW22" s="100" t="s">
        <v>163</v>
      </c>
      <c r="EX22" s="101">
        <v>0</v>
      </c>
      <c r="FA22" s="100" t="s">
        <v>257</v>
      </c>
      <c r="FB22" s="101">
        <v>50</v>
      </c>
    </row>
    <row r="23" spans="7:158" x14ac:dyDescent="0.25">
      <c r="G23" s="100" t="s">
        <v>56</v>
      </c>
      <c r="H23" s="101">
        <v>25</v>
      </c>
      <c r="J23" s="8"/>
      <c r="K23" s="100" t="s">
        <v>164</v>
      </c>
      <c r="L23" s="101">
        <v>40</v>
      </c>
      <c r="M23" s="8"/>
      <c r="N23" s="8"/>
      <c r="O23" s="102" t="s">
        <v>56</v>
      </c>
      <c r="P23" s="101">
        <v>6</v>
      </c>
      <c r="Q23" s="8"/>
      <c r="R23" s="8"/>
      <c r="S23" s="100" t="s">
        <v>56</v>
      </c>
      <c r="T23" s="101">
        <v>60</v>
      </c>
      <c r="W23" s="100" t="s">
        <v>56</v>
      </c>
      <c r="X23" s="101">
        <v>27</v>
      </c>
      <c r="AA23" s="100" t="s">
        <v>56</v>
      </c>
      <c r="AB23" s="101">
        <v>27</v>
      </c>
      <c r="AE23" s="100" t="s">
        <v>164</v>
      </c>
      <c r="AF23" s="101">
        <v>7</v>
      </c>
      <c r="AI23" s="100" t="s">
        <v>164</v>
      </c>
      <c r="AJ23" s="101">
        <v>0</v>
      </c>
      <c r="AM23" s="100" t="s">
        <v>164</v>
      </c>
      <c r="AN23" s="101">
        <v>28</v>
      </c>
      <c r="AQ23" s="100" t="s">
        <v>56</v>
      </c>
      <c r="AR23" s="101">
        <v>38</v>
      </c>
      <c r="AU23" s="100" t="s">
        <v>164</v>
      </c>
      <c r="AV23" s="101">
        <v>35</v>
      </c>
      <c r="AY23" s="100" t="s">
        <v>56</v>
      </c>
      <c r="AZ23" s="101">
        <v>39</v>
      </c>
      <c r="BC23" s="100" t="s">
        <v>56</v>
      </c>
      <c r="BD23" s="101">
        <v>57</v>
      </c>
      <c r="BF23" s="100" t="s">
        <v>56</v>
      </c>
      <c r="BG23" s="101">
        <v>43</v>
      </c>
      <c r="BJ23" s="100" t="s">
        <v>56</v>
      </c>
      <c r="BK23" s="101">
        <v>84</v>
      </c>
      <c r="BN23" s="100" t="s">
        <v>164</v>
      </c>
      <c r="BO23" s="101">
        <v>17</v>
      </c>
      <c r="BR23" s="100" t="s">
        <v>164</v>
      </c>
      <c r="BS23" s="101">
        <v>20</v>
      </c>
      <c r="BV23" s="100" t="s">
        <v>164</v>
      </c>
      <c r="BW23" s="101">
        <v>0</v>
      </c>
      <c r="BZ23" s="100" t="s">
        <v>164</v>
      </c>
      <c r="CA23" s="101">
        <v>31</v>
      </c>
      <c r="CD23" s="100" t="s">
        <v>56</v>
      </c>
      <c r="CE23" s="101">
        <v>16</v>
      </c>
      <c r="CH23" s="100" t="s">
        <v>56</v>
      </c>
      <c r="CI23" s="101">
        <v>30</v>
      </c>
      <c r="CL23" s="100" t="s">
        <v>56</v>
      </c>
      <c r="CM23" s="101">
        <v>49</v>
      </c>
      <c r="CP23" s="100" t="s">
        <v>164</v>
      </c>
      <c r="CQ23" s="101">
        <v>87</v>
      </c>
      <c r="CT23" s="100" t="s">
        <v>56</v>
      </c>
      <c r="CU23" s="101">
        <v>51</v>
      </c>
      <c r="CX23" s="100" t="s">
        <v>164</v>
      </c>
      <c r="CY23" s="101">
        <v>50</v>
      </c>
      <c r="DB23" s="100" t="s">
        <v>56</v>
      </c>
      <c r="DC23" s="101">
        <v>43</v>
      </c>
      <c r="DF23" s="100" t="s">
        <v>56</v>
      </c>
      <c r="DG23" s="101">
        <v>32</v>
      </c>
      <c r="DJ23" s="100" t="s">
        <v>56</v>
      </c>
      <c r="DK23" s="101">
        <v>67</v>
      </c>
      <c r="DN23" s="100" t="s">
        <v>56</v>
      </c>
      <c r="DO23" s="101">
        <v>29</v>
      </c>
      <c r="DR23" s="100" t="s">
        <v>56</v>
      </c>
      <c r="DS23" s="101">
        <v>65</v>
      </c>
      <c r="DV23" s="100" t="s">
        <v>56</v>
      </c>
      <c r="DW23" s="101">
        <v>49</v>
      </c>
      <c r="DZ23" s="100" t="s">
        <v>56</v>
      </c>
      <c r="EA23" s="101">
        <v>49</v>
      </c>
      <c r="ED23" s="100" t="s">
        <v>56</v>
      </c>
      <c r="EE23" s="101">
        <v>13</v>
      </c>
      <c r="EH23" s="100" t="s">
        <v>56</v>
      </c>
      <c r="EI23" s="101">
        <v>77</v>
      </c>
      <c r="EK23" s="100" t="s">
        <v>56</v>
      </c>
      <c r="EL23" s="101">
        <v>29</v>
      </c>
      <c r="EO23" s="100" t="s">
        <v>56</v>
      </c>
      <c r="EP23" s="101">
        <v>5</v>
      </c>
      <c r="ES23" s="100" t="s">
        <v>56</v>
      </c>
      <c r="ET23" s="101">
        <v>0.11</v>
      </c>
      <c r="EW23" s="100" t="s">
        <v>164</v>
      </c>
      <c r="EX23" s="101">
        <v>0</v>
      </c>
      <c r="FA23" s="100" t="s">
        <v>258</v>
      </c>
      <c r="FB23" s="101">
        <v>59</v>
      </c>
    </row>
    <row r="24" spans="7:158" x14ac:dyDescent="0.25">
      <c r="G24" s="100" t="s">
        <v>57</v>
      </c>
      <c r="H24" s="101">
        <v>25</v>
      </c>
      <c r="J24" s="8"/>
      <c r="K24" s="100" t="s">
        <v>165</v>
      </c>
      <c r="L24" s="101">
        <v>51</v>
      </c>
      <c r="M24" s="8"/>
      <c r="N24" s="8"/>
      <c r="O24" s="102" t="s">
        <v>57</v>
      </c>
      <c r="P24" s="101">
        <v>10</v>
      </c>
      <c r="Q24" s="8"/>
      <c r="R24" s="8"/>
      <c r="S24" s="100" t="s">
        <v>57</v>
      </c>
      <c r="T24" s="101">
        <v>59</v>
      </c>
      <c r="W24" s="100" t="s">
        <v>57</v>
      </c>
      <c r="X24" s="101">
        <v>28</v>
      </c>
      <c r="AA24" s="100" t="s">
        <v>57</v>
      </c>
      <c r="AB24" s="101">
        <v>27</v>
      </c>
      <c r="AE24" s="100" t="s">
        <v>165</v>
      </c>
      <c r="AF24" s="101">
        <v>4</v>
      </c>
      <c r="AI24" s="100" t="s">
        <v>165</v>
      </c>
      <c r="AJ24" s="101">
        <v>0</v>
      </c>
      <c r="AM24" s="100" t="s">
        <v>165</v>
      </c>
      <c r="AN24" s="101">
        <v>29</v>
      </c>
      <c r="AQ24" s="100" t="s">
        <v>57</v>
      </c>
      <c r="AR24" s="101">
        <v>42</v>
      </c>
      <c r="AU24" s="100" t="s">
        <v>165</v>
      </c>
      <c r="AV24" s="101">
        <v>35</v>
      </c>
      <c r="AY24" s="100" t="s">
        <v>57</v>
      </c>
      <c r="AZ24" s="101">
        <v>39</v>
      </c>
      <c r="BC24" s="100" t="s">
        <v>57</v>
      </c>
      <c r="BD24" s="101">
        <v>54</v>
      </c>
      <c r="BF24" s="100" t="s">
        <v>57</v>
      </c>
      <c r="BG24" s="101">
        <v>43</v>
      </c>
      <c r="BJ24" s="100" t="s">
        <v>57</v>
      </c>
      <c r="BK24" s="101">
        <v>47</v>
      </c>
      <c r="BN24" s="100" t="s">
        <v>165</v>
      </c>
      <c r="BO24" s="101">
        <v>16</v>
      </c>
      <c r="BR24" s="100" t="s">
        <v>165</v>
      </c>
      <c r="BS24" s="101">
        <v>15</v>
      </c>
      <c r="BV24" s="100" t="s">
        <v>165</v>
      </c>
      <c r="BW24" s="101">
        <v>0</v>
      </c>
      <c r="BZ24" s="100" t="s">
        <v>165</v>
      </c>
      <c r="CA24" s="101">
        <v>44</v>
      </c>
      <c r="CD24" s="100" t="s">
        <v>57</v>
      </c>
      <c r="CE24" s="101">
        <v>17</v>
      </c>
      <c r="CH24" s="100" t="s">
        <v>57</v>
      </c>
      <c r="CI24" s="101">
        <v>28</v>
      </c>
      <c r="CL24" s="100" t="s">
        <v>57</v>
      </c>
      <c r="CM24" s="101">
        <v>57</v>
      </c>
      <c r="CP24" s="100" t="s">
        <v>165</v>
      </c>
      <c r="CQ24" s="101">
        <v>66</v>
      </c>
      <c r="CT24" s="100" t="s">
        <v>57</v>
      </c>
      <c r="CU24" s="101">
        <v>55</v>
      </c>
      <c r="CX24" s="100" t="s">
        <v>165</v>
      </c>
      <c r="CY24" s="101">
        <v>42</v>
      </c>
      <c r="DB24" s="100" t="s">
        <v>57</v>
      </c>
      <c r="DC24" s="101">
        <v>60</v>
      </c>
      <c r="DF24" s="100" t="s">
        <v>57</v>
      </c>
      <c r="DG24" s="101">
        <v>38</v>
      </c>
      <c r="DJ24" s="100" t="s">
        <v>57</v>
      </c>
      <c r="DK24" s="101">
        <v>72</v>
      </c>
      <c r="DN24" s="100" t="s">
        <v>57</v>
      </c>
      <c r="DO24" s="101">
        <v>29</v>
      </c>
      <c r="DR24" s="100" t="s">
        <v>57</v>
      </c>
      <c r="DS24" s="101">
        <v>78</v>
      </c>
      <c r="DV24" s="100" t="s">
        <v>57</v>
      </c>
      <c r="DW24" s="101">
        <v>35</v>
      </c>
      <c r="DZ24" s="100" t="s">
        <v>57</v>
      </c>
      <c r="EA24" s="101">
        <v>52</v>
      </c>
      <c r="ED24" s="100" t="s">
        <v>57</v>
      </c>
      <c r="EE24" s="101">
        <v>13</v>
      </c>
      <c r="EH24" s="100" t="s">
        <v>57</v>
      </c>
      <c r="EI24" s="101">
        <v>72</v>
      </c>
      <c r="EK24" s="100" t="s">
        <v>57</v>
      </c>
      <c r="EL24" s="101">
        <v>26</v>
      </c>
      <c r="EO24" s="100" t="s">
        <v>57</v>
      </c>
      <c r="EP24" s="101">
        <v>5</v>
      </c>
      <c r="ES24" s="100" t="s">
        <v>57</v>
      </c>
      <c r="ET24" s="101">
        <v>0.12</v>
      </c>
      <c r="EW24" s="100" t="s">
        <v>165</v>
      </c>
      <c r="EX24" s="101">
        <v>26</v>
      </c>
      <c r="FA24" s="100" t="s">
        <v>259</v>
      </c>
      <c r="FB24" s="101">
        <v>58</v>
      </c>
    </row>
    <row r="25" spans="7:158" x14ac:dyDescent="0.25">
      <c r="G25" s="100" t="s">
        <v>58</v>
      </c>
      <c r="H25" s="101">
        <v>28</v>
      </c>
      <c r="J25" s="8"/>
      <c r="K25" s="100" t="s">
        <v>166</v>
      </c>
      <c r="L25" s="101">
        <v>40</v>
      </c>
      <c r="M25" s="8"/>
      <c r="N25" s="8"/>
      <c r="O25" s="102" t="s">
        <v>58</v>
      </c>
      <c r="P25" s="101">
        <v>11</v>
      </c>
      <c r="Q25" s="8"/>
      <c r="R25" s="8"/>
      <c r="S25" s="100" t="s">
        <v>58</v>
      </c>
      <c r="T25" s="101">
        <v>59</v>
      </c>
      <c r="W25" s="100" t="s">
        <v>58</v>
      </c>
      <c r="X25" s="101">
        <v>29</v>
      </c>
      <c r="AA25" s="100" t="s">
        <v>58</v>
      </c>
      <c r="AB25" s="101">
        <v>31</v>
      </c>
      <c r="AE25" s="100" t="s">
        <v>166</v>
      </c>
      <c r="AF25" s="101">
        <v>3</v>
      </c>
      <c r="AI25" s="100" t="s">
        <v>166</v>
      </c>
      <c r="AJ25" s="101">
        <v>0</v>
      </c>
      <c r="AM25" s="100" t="s">
        <v>166</v>
      </c>
      <c r="AN25" s="101">
        <v>30</v>
      </c>
      <c r="AQ25" s="100" t="s">
        <v>58</v>
      </c>
      <c r="AR25" s="101">
        <v>48</v>
      </c>
      <c r="AU25" s="100" t="s">
        <v>166</v>
      </c>
      <c r="AV25" s="101">
        <v>35</v>
      </c>
      <c r="AY25" s="100" t="s">
        <v>58</v>
      </c>
      <c r="AZ25" s="101">
        <v>38</v>
      </c>
      <c r="BC25" s="100" t="s">
        <v>58</v>
      </c>
      <c r="BD25" s="101">
        <v>57</v>
      </c>
      <c r="BF25" s="100" t="s">
        <v>58</v>
      </c>
      <c r="BG25" s="101">
        <v>46</v>
      </c>
      <c r="BJ25" s="100" t="s">
        <v>58</v>
      </c>
      <c r="BK25" s="101">
        <v>56</v>
      </c>
      <c r="BN25" s="100" t="s">
        <v>166</v>
      </c>
      <c r="BO25" s="101">
        <v>12</v>
      </c>
      <c r="BR25" s="100" t="s">
        <v>166</v>
      </c>
      <c r="BS25" s="101">
        <v>15</v>
      </c>
      <c r="BV25" s="100" t="s">
        <v>166</v>
      </c>
      <c r="BW25" s="101">
        <v>0</v>
      </c>
      <c r="BZ25" s="100" t="s">
        <v>166</v>
      </c>
      <c r="CA25" s="101">
        <v>25</v>
      </c>
      <c r="CD25" s="100" t="s">
        <v>58</v>
      </c>
      <c r="CE25" s="101">
        <v>20</v>
      </c>
      <c r="CH25" s="100" t="s">
        <v>58</v>
      </c>
      <c r="CI25" s="101">
        <v>33</v>
      </c>
      <c r="CL25" s="100" t="s">
        <v>58</v>
      </c>
      <c r="CM25" s="101">
        <v>52</v>
      </c>
      <c r="CP25" s="100" t="s">
        <v>166</v>
      </c>
      <c r="CQ25" s="101">
        <v>66</v>
      </c>
      <c r="CT25" s="100" t="s">
        <v>58</v>
      </c>
      <c r="CU25" s="101">
        <v>45</v>
      </c>
      <c r="CX25" s="100" t="s">
        <v>166</v>
      </c>
      <c r="CY25" s="101">
        <v>60</v>
      </c>
      <c r="DB25" s="100" t="s">
        <v>58</v>
      </c>
      <c r="DC25" s="101">
        <v>42</v>
      </c>
      <c r="DF25" s="100" t="s">
        <v>58</v>
      </c>
      <c r="DG25" s="101">
        <v>31</v>
      </c>
      <c r="DJ25" s="100" t="s">
        <v>58</v>
      </c>
      <c r="DK25" s="101">
        <v>68</v>
      </c>
      <c r="DN25" s="100" t="s">
        <v>58</v>
      </c>
      <c r="DO25" s="101">
        <v>29</v>
      </c>
      <c r="DR25" s="100" t="s">
        <v>58</v>
      </c>
      <c r="DS25" s="101">
        <v>55</v>
      </c>
      <c r="DV25" s="100" t="s">
        <v>58</v>
      </c>
      <c r="DW25" s="101">
        <v>38</v>
      </c>
      <c r="DZ25" s="100" t="s">
        <v>58</v>
      </c>
      <c r="EA25" s="101">
        <v>38</v>
      </c>
      <c r="ED25" s="100" t="s">
        <v>58</v>
      </c>
      <c r="EE25" s="101">
        <v>12</v>
      </c>
      <c r="EH25" s="100" t="s">
        <v>58</v>
      </c>
      <c r="EI25" s="101">
        <v>58</v>
      </c>
      <c r="EK25" s="100" t="s">
        <v>58</v>
      </c>
      <c r="EL25" s="101">
        <v>25</v>
      </c>
      <c r="EO25" s="100" t="s">
        <v>58</v>
      </c>
      <c r="EP25" s="101">
        <v>5</v>
      </c>
      <c r="ES25" s="100" t="s">
        <v>58</v>
      </c>
      <c r="ET25" s="101">
        <v>0.12</v>
      </c>
      <c r="EW25" s="100" t="s">
        <v>166</v>
      </c>
      <c r="EX25" s="101">
        <v>28</v>
      </c>
      <c r="FA25" s="100" t="s">
        <v>260</v>
      </c>
      <c r="FB25" s="101">
        <v>57</v>
      </c>
    </row>
    <row r="26" spans="7:158" x14ac:dyDescent="0.25">
      <c r="G26" s="100" t="s">
        <v>59</v>
      </c>
      <c r="H26" s="101">
        <v>26</v>
      </c>
      <c r="J26" s="8"/>
      <c r="K26" s="100" t="s">
        <v>167</v>
      </c>
      <c r="L26" s="101">
        <v>35</v>
      </c>
      <c r="M26" s="8"/>
      <c r="N26" s="8"/>
      <c r="O26" s="102" t="s">
        <v>59</v>
      </c>
      <c r="P26" s="101">
        <v>9</v>
      </c>
      <c r="Q26" s="8"/>
      <c r="R26" s="8"/>
      <c r="S26" s="100" t="s">
        <v>59</v>
      </c>
      <c r="T26" s="101">
        <v>58</v>
      </c>
      <c r="W26" s="100" t="s">
        <v>59</v>
      </c>
      <c r="X26" s="101">
        <v>33</v>
      </c>
      <c r="AA26" s="100" t="s">
        <v>59</v>
      </c>
      <c r="AB26" s="101">
        <v>26</v>
      </c>
      <c r="AE26" s="100" t="s">
        <v>167</v>
      </c>
      <c r="AF26" s="101">
        <v>4</v>
      </c>
      <c r="AI26" s="100" t="s">
        <v>167</v>
      </c>
      <c r="AJ26" s="101">
        <v>0</v>
      </c>
      <c r="AM26" s="100" t="s">
        <v>167</v>
      </c>
      <c r="AN26" s="101">
        <v>29</v>
      </c>
      <c r="AQ26" s="100" t="s">
        <v>59</v>
      </c>
      <c r="AR26" s="101">
        <v>46</v>
      </c>
      <c r="AU26" s="100" t="s">
        <v>167</v>
      </c>
      <c r="AV26" s="101">
        <v>37</v>
      </c>
      <c r="AY26" s="100" t="s">
        <v>59</v>
      </c>
      <c r="AZ26" s="101">
        <v>36</v>
      </c>
      <c r="BC26" s="100" t="s">
        <v>59</v>
      </c>
      <c r="BD26" s="101">
        <v>55</v>
      </c>
      <c r="BF26" s="100" t="s">
        <v>59</v>
      </c>
      <c r="BG26" s="101">
        <v>37</v>
      </c>
      <c r="BJ26" s="100" t="s">
        <v>59</v>
      </c>
      <c r="BK26" s="101">
        <v>64</v>
      </c>
      <c r="BN26" s="100" t="s">
        <v>167</v>
      </c>
      <c r="BO26" s="101">
        <v>10</v>
      </c>
      <c r="BR26" s="100" t="s">
        <v>167</v>
      </c>
      <c r="BS26" s="101">
        <v>12</v>
      </c>
      <c r="BV26" s="100" t="s">
        <v>167</v>
      </c>
      <c r="BW26" s="101">
        <v>0</v>
      </c>
      <c r="BZ26" s="100" t="s">
        <v>167</v>
      </c>
      <c r="CA26" s="101">
        <v>24</v>
      </c>
      <c r="CD26" s="100" t="s">
        <v>59</v>
      </c>
      <c r="CE26" s="101">
        <v>16</v>
      </c>
      <c r="CH26" s="100" t="s">
        <v>59</v>
      </c>
      <c r="CI26" s="101">
        <v>33</v>
      </c>
      <c r="CL26" s="100" t="s">
        <v>59</v>
      </c>
      <c r="CM26" s="101">
        <v>47</v>
      </c>
      <c r="CP26" s="100" t="s">
        <v>167</v>
      </c>
      <c r="CQ26" s="101">
        <v>73</v>
      </c>
      <c r="CT26" s="100" t="s">
        <v>59</v>
      </c>
      <c r="CU26" s="101">
        <v>54</v>
      </c>
      <c r="CX26" s="100" t="s">
        <v>167</v>
      </c>
      <c r="CY26" s="101">
        <v>46</v>
      </c>
      <c r="DB26" s="100" t="s">
        <v>59</v>
      </c>
      <c r="DC26" s="101">
        <v>45</v>
      </c>
      <c r="DF26" s="100" t="s">
        <v>59</v>
      </c>
      <c r="DG26" s="101">
        <v>36</v>
      </c>
      <c r="DJ26" s="100" t="s">
        <v>59</v>
      </c>
      <c r="DK26" s="101">
        <v>68</v>
      </c>
      <c r="DN26" s="100" t="s">
        <v>59</v>
      </c>
      <c r="DO26" s="101">
        <v>26</v>
      </c>
      <c r="DR26" s="100" t="s">
        <v>59</v>
      </c>
      <c r="DS26" s="101">
        <v>49</v>
      </c>
      <c r="DV26" s="100" t="s">
        <v>59</v>
      </c>
      <c r="DW26" s="101">
        <v>30</v>
      </c>
      <c r="DZ26" s="100" t="s">
        <v>59</v>
      </c>
      <c r="EA26" s="101">
        <v>27</v>
      </c>
      <c r="ED26" s="100" t="s">
        <v>59</v>
      </c>
      <c r="EE26" s="101">
        <v>13</v>
      </c>
      <c r="EH26" s="100" t="s">
        <v>59</v>
      </c>
      <c r="EI26" s="101">
        <v>70</v>
      </c>
      <c r="EK26" s="100" t="s">
        <v>59</v>
      </c>
      <c r="EL26" s="101">
        <v>25</v>
      </c>
      <c r="EO26" s="100" t="s">
        <v>59</v>
      </c>
      <c r="EP26" s="101">
        <v>6</v>
      </c>
      <c r="ES26" s="100" t="s">
        <v>59</v>
      </c>
      <c r="ET26" s="101">
        <v>0.11</v>
      </c>
      <c r="EW26" s="100" t="s">
        <v>167</v>
      </c>
      <c r="EX26" s="101">
        <v>29</v>
      </c>
      <c r="FA26" s="100" t="s">
        <v>261</v>
      </c>
      <c r="FB26" s="101">
        <v>54</v>
      </c>
    </row>
    <row r="27" spans="7:158" x14ac:dyDescent="0.25">
      <c r="G27" s="100" t="s">
        <v>60</v>
      </c>
      <c r="H27" s="101">
        <v>24</v>
      </c>
      <c r="J27" s="8"/>
      <c r="K27" s="100" t="s">
        <v>168</v>
      </c>
      <c r="L27" s="101">
        <v>45</v>
      </c>
      <c r="M27" s="8"/>
      <c r="N27" s="8"/>
      <c r="O27" s="102" t="s">
        <v>60</v>
      </c>
      <c r="P27" s="101">
        <v>10</v>
      </c>
      <c r="Q27" s="8"/>
      <c r="R27" s="8"/>
      <c r="S27" s="100" t="s">
        <v>60</v>
      </c>
      <c r="T27" s="101">
        <v>57</v>
      </c>
      <c r="W27" s="100" t="s">
        <v>60</v>
      </c>
      <c r="X27" s="101">
        <v>29</v>
      </c>
      <c r="AA27" s="100" t="s">
        <v>60</v>
      </c>
      <c r="AB27" s="101">
        <v>27</v>
      </c>
      <c r="AE27" s="100" t="s">
        <v>168</v>
      </c>
      <c r="AF27" s="101">
        <v>5</v>
      </c>
      <c r="AI27" s="100" t="s">
        <v>168</v>
      </c>
      <c r="AJ27" s="101">
        <v>0</v>
      </c>
      <c r="AM27" s="100" t="s">
        <v>168</v>
      </c>
      <c r="AN27" s="101">
        <v>30</v>
      </c>
      <c r="AQ27" s="100" t="s">
        <v>60</v>
      </c>
      <c r="AR27" s="101">
        <v>29</v>
      </c>
      <c r="AU27" s="100" t="s">
        <v>168</v>
      </c>
      <c r="AV27" s="101">
        <v>34</v>
      </c>
      <c r="AY27" s="100" t="s">
        <v>60</v>
      </c>
      <c r="AZ27" s="101">
        <v>36</v>
      </c>
      <c r="BC27" s="100" t="s">
        <v>60</v>
      </c>
      <c r="BD27" s="101">
        <v>55</v>
      </c>
      <c r="BF27" s="100" t="s">
        <v>60</v>
      </c>
      <c r="BG27" s="101">
        <v>44</v>
      </c>
      <c r="BJ27" s="100" t="s">
        <v>60</v>
      </c>
      <c r="BK27" s="101">
        <v>56</v>
      </c>
      <c r="BN27" s="100" t="s">
        <v>168</v>
      </c>
      <c r="BO27" s="101">
        <v>11</v>
      </c>
      <c r="BR27" s="100" t="s">
        <v>168</v>
      </c>
      <c r="BS27" s="101">
        <v>10</v>
      </c>
      <c r="BV27" s="100" t="s">
        <v>168</v>
      </c>
      <c r="BW27" s="101">
        <v>0</v>
      </c>
      <c r="BZ27" s="100" t="s">
        <v>168</v>
      </c>
      <c r="CA27" s="101">
        <v>25</v>
      </c>
      <c r="CD27" s="100" t="s">
        <v>60</v>
      </c>
      <c r="CE27" s="101">
        <v>16</v>
      </c>
      <c r="CH27" s="100" t="s">
        <v>60</v>
      </c>
      <c r="CI27" s="101">
        <v>28</v>
      </c>
      <c r="CL27" s="100" t="s">
        <v>60</v>
      </c>
      <c r="CM27" s="101">
        <v>47</v>
      </c>
      <c r="CP27" s="100" t="s">
        <v>168</v>
      </c>
      <c r="CQ27" s="101">
        <v>48</v>
      </c>
      <c r="CT27" s="100" t="s">
        <v>60</v>
      </c>
      <c r="CU27" s="101">
        <v>31</v>
      </c>
      <c r="CX27" s="100" t="s">
        <v>168</v>
      </c>
      <c r="CY27" s="101">
        <v>40</v>
      </c>
      <c r="DB27" s="100" t="s">
        <v>60</v>
      </c>
      <c r="DC27" s="101">
        <v>39</v>
      </c>
      <c r="DF27" s="100" t="s">
        <v>60</v>
      </c>
      <c r="DG27" s="101">
        <v>40</v>
      </c>
      <c r="DJ27" s="100" t="s">
        <v>60</v>
      </c>
      <c r="DK27" s="101">
        <v>65</v>
      </c>
      <c r="DN27" s="100" t="s">
        <v>60</v>
      </c>
      <c r="DO27" s="101">
        <v>25</v>
      </c>
      <c r="DR27" s="100" t="s">
        <v>60</v>
      </c>
      <c r="DS27" s="101">
        <v>48</v>
      </c>
      <c r="DV27" s="100" t="s">
        <v>60</v>
      </c>
      <c r="DW27" s="101">
        <v>53</v>
      </c>
      <c r="DZ27" s="100" t="s">
        <v>60</v>
      </c>
      <c r="EA27" s="101">
        <v>39</v>
      </c>
      <c r="ED27" s="100" t="s">
        <v>60</v>
      </c>
      <c r="EE27" s="101">
        <v>13</v>
      </c>
      <c r="EH27" s="100" t="s">
        <v>60</v>
      </c>
      <c r="EI27" s="101">
        <v>67</v>
      </c>
      <c r="EK27" s="100" t="s">
        <v>60</v>
      </c>
      <c r="EL27" s="101">
        <v>25</v>
      </c>
      <c r="EO27" s="100" t="s">
        <v>60</v>
      </c>
      <c r="EP27" s="101">
        <v>5</v>
      </c>
      <c r="ES27" s="100" t="s">
        <v>60</v>
      </c>
      <c r="ET27" s="101">
        <v>0.12</v>
      </c>
      <c r="EW27" s="100" t="s">
        <v>168</v>
      </c>
      <c r="EX27" s="101">
        <v>29</v>
      </c>
      <c r="FA27" s="100" t="s">
        <v>262</v>
      </c>
      <c r="FB27" s="101">
        <v>55</v>
      </c>
    </row>
    <row r="28" spans="7:158" x14ac:dyDescent="0.25">
      <c r="G28" s="100" t="s">
        <v>61</v>
      </c>
      <c r="H28" s="101">
        <v>24</v>
      </c>
      <c r="J28" s="8"/>
      <c r="K28" s="100" t="s">
        <v>169</v>
      </c>
      <c r="L28" s="101">
        <v>42</v>
      </c>
      <c r="M28" s="8"/>
      <c r="N28" s="8"/>
      <c r="O28" s="102" t="s">
        <v>61</v>
      </c>
      <c r="P28" s="101">
        <v>8</v>
      </c>
      <c r="Q28" s="8"/>
      <c r="R28" s="8"/>
      <c r="S28" s="100" t="s">
        <v>61</v>
      </c>
      <c r="T28" s="101">
        <v>55</v>
      </c>
      <c r="W28" s="100" t="s">
        <v>61</v>
      </c>
      <c r="X28" s="101">
        <v>28</v>
      </c>
      <c r="AA28" s="100" t="s">
        <v>61</v>
      </c>
      <c r="AB28" s="101">
        <v>25</v>
      </c>
      <c r="AE28" s="100" t="s">
        <v>169</v>
      </c>
      <c r="AF28" s="101">
        <v>5</v>
      </c>
      <c r="AI28" s="100" t="s">
        <v>169</v>
      </c>
      <c r="AJ28" s="101">
        <v>91</v>
      </c>
      <c r="AM28" s="100" t="s">
        <v>169</v>
      </c>
      <c r="AN28" s="101">
        <v>31</v>
      </c>
      <c r="AQ28" s="100" t="s">
        <v>61</v>
      </c>
      <c r="AR28" s="101">
        <v>43</v>
      </c>
      <c r="AU28" s="100" t="s">
        <v>169</v>
      </c>
      <c r="AV28" s="101">
        <v>34</v>
      </c>
      <c r="AY28" s="100" t="s">
        <v>61</v>
      </c>
      <c r="AZ28" s="101">
        <v>37</v>
      </c>
      <c r="BC28" s="100" t="s">
        <v>61</v>
      </c>
      <c r="BD28" s="101">
        <v>58</v>
      </c>
      <c r="BF28" s="100" t="s">
        <v>61</v>
      </c>
      <c r="BG28" s="101">
        <v>41</v>
      </c>
      <c r="BJ28" s="100" t="s">
        <v>61</v>
      </c>
      <c r="BK28" s="101">
        <v>46</v>
      </c>
      <c r="BN28" s="100" t="s">
        <v>169</v>
      </c>
      <c r="BO28" s="101">
        <v>21</v>
      </c>
      <c r="BR28" s="100" t="s">
        <v>169</v>
      </c>
      <c r="BS28" s="101">
        <v>10</v>
      </c>
      <c r="BV28" s="100" t="s">
        <v>169</v>
      </c>
      <c r="BW28" s="101">
        <v>0</v>
      </c>
      <c r="BZ28" s="100" t="s">
        <v>169</v>
      </c>
      <c r="CA28" s="101">
        <v>32</v>
      </c>
      <c r="CD28" s="100" t="s">
        <v>61</v>
      </c>
      <c r="CE28" s="101">
        <v>15</v>
      </c>
      <c r="CH28" s="100" t="s">
        <v>61</v>
      </c>
      <c r="CI28" s="101">
        <v>20</v>
      </c>
      <c r="CL28" s="100" t="s">
        <v>61</v>
      </c>
      <c r="CM28" s="101">
        <v>43</v>
      </c>
      <c r="CP28" s="100" t="s">
        <v>169</v>
      </c>
      <c r="CQ28" s="101">
        <v>76</v>
      </c>
      <c r="CT28" s="100" t="s">
        <v>61</v>
      </c>
      <c r="CU28" s="101">
        <v>33</v>
      </c>
      <c r="CX28" s="100" t="s">
        <v>169</v>
      </c>
      <c r="CY28" s="101">
        <v>60</v>
      </c>
      <c r="DB28" s="100" t="s">
        <v>61</v>
      </c>
      <c r="DC28" s="101">
        <v>61</v>
      </c>
      <c r="DF28" s="100" t="s">
        <v>61</v>
      </c>
      <c r="DG28" s="101">
        <v>34</v>
      </c>
      <c r="DJ28" s="100" t="s">
        <v>61</v>
      </c>
      <c r="DK28" s="101">
        <v>65</v>
      </c>
      <c r="DN28" s="100" t="s">
        <v>61</v>
      </c>
      <c r="DO28" s="101">
        <v>23</v>
      </c>
      <c r="DR28" s="100" t="s">
        <v>61</v>
      </c>
      <c r="DS28" s="101">
        <v>72</v>
      </c>
      <c r="DV28" s="100" t="s">
        <v>61</v>
      </c>
      <c r="DW28" s="101">
        <v>24</v>
      </c>
      <c r="DZ28" s="100" t="s">
        <v>61</v>
      </c>
      <c r="EA28" s="101">
        <v>34</v>
      </c>
      <c r="ED28" s="100" t="s">
        <v>61</v>
      </c>
      <c r="EE28" s="101">
        <v>14</v>
      </c>
      <c r="EH28" s="100" t="s">
        <v>61</v>
      </c>
      <c r="EI28" s="101">
        <v>69</v>
      </c>
      <c r="EK28" s="100" t="s">
        <v>61</v>
      </c>
      <c r="EL28" s="101">
        <v>25</v>
      </c>
      <c r="EO28" s="100" t="s">
        <v>61</v>
      </c>
      <c r="EP28" s="101">
        <v>7</v>
      </c>
      <c r="ES28" s="100" t="s">
        <v>61</v>
      </c>
      <c r="ET28" s="101">
        <v>0.13</v>
      </c>
      <c r="EW28" s="100" t="s">
        <v>169</v>
      </c>
      <c r="EX28" s="101">
        <v>29</v>
      </c>
      <c r="FA28" s="100" t="s">
        <v>263</v>
      </c>
      <c r="FB28" s="101">
        <v>55</v>
      </c>
    </row>
    <row r="29" spans="7:158" x14ac:dyDescent="0.25">
      <c r="G29" s="100" t="s">
        <v>62</v>
      </c>
      <c r="H29" s="101">
        <v>19</v>
      </c>
      <c r="J29" s="8"/>
      <c r="K29" s="100" t="s">
        <v>170</v>
      </c>
      <c r="L29" s="101">
        <v>58</v>
      </c>
      <c r="M29" s="8"/>
      <c r="N29" s="8"/>
      <c r="O29" s="102" t="s">
        <v>62</v>
      </c>
      <c r="P29" s="101">
        <v>6</v>
      </c>
      <c r="Q29" s="8"/>
      <c r="R29" s="8"/>
      <c r="S29" s="100" t="s">
        <v>62</v>
      </c>
      <c r="T29" s="101">
        <v>53</v>
      </c>
      <c r="W29" s="100" t="s">
        <v>62</v>
      </c>
      <c r="X29" s="101">
        <v>25</v>
      </c>
      <c r="AA29" s="100" t="s">
        <v>62</v>
      </c>
      <c r="AB29" s="101">
        <v>25</v>
      </c>
      <c r="AE29" s="100" t="s">
        <v>170</v>
      </c>
      <c r="AF29" s="101">
        <v>5</v>
      </c>
      <c r="AI29" s="100" t="s">
        <v>170</v>
      </c>
      <c r="AJ29" s="101">
        <v>100</v>
      </c>
      <c r="AM29" s="100" t="s">
        <v>170</v>
      </c>
      <c r="AN29" s="101">
        <v>30</v>
      </c>
      <c r="AQ29" s="100" t="s">
        <v>62</v>
      </c>
      <c r="AR29" s="101">
        <v>40</v>
      </c>
      <c r="AU29" s="100" t="s">
        <v>170</v>
      </c>
      <c r="AV29" s="101">
        <v>34</v>
      </c>
      <c r="AY29" s="100" t="s">
        <v>62</v>
      </c>
      <c r="AZ29" s="101">
        <v>38</v>
      </c>
      <c r="BC29" s="100" t="s">
        <v>62</v>
      </c>
      <c r="BD29" s="101">
        <v>66</v>
      </c>
      <c r="BF29" s="100" t="s">
        <v>62</v>
      </c>
      <c r="BG29" s="101">
        <v>32</v>
      </c>
      <c r="BJ29" s="100" t="s">
        <v>62</v>
      </c>
      <c r="BK29" s="101">
        <v>62</v>
      </c>
      <c r="BN29" s="100" t="s">
        <v>170</v>
      </c>
      <c r="BO29" s="101">
        <v>12</v>
      </c>
      <c r="BR29" s="100" t="s">
        <v>170</v>
      </c>
      <c r="BS29" s="101">
        <v>11</v>
      </c>
      <c r="BV29" s="100" t="s">
        <v>170</v>
      </c>
      <c r="BW29" s="101">
        <v>44</v>
      </c>
      <c r="BZ29" s="100" t="s">
        <v>170</v>
      </c>
      <c r="CA29" s="101">
        <v>34</v>
      </c>
      <c r="CD29" s="100" t="s">
        <v>62</v>
      </c>
      <c r="CE29" s="101">
        <v>14</v>
      </c>
      <c r="CH29" s="100" t="s">
        <v>62</v>
      </c>
      <c r="CI29" s="101">
        <v>16</v>
      </c>
      <c r="CL29" s="100" t="s">
        <v>62</v>
      </c>
      <c r="CM29" s="101">
        <v>37</v>
      </c>
      <c r="CP29" s="100" t="s">
        <v>170</v>
      </c>
      <c r="CQ29" s="101">
        <v>71</v>
      </c>
      <c r="CT29" s="100" t="s">
        <v>62</v>
      </c>
      <c r="CU29" s="101">
        <v>36</v>
      </c>
      <c r="CX29" s="100" t="s">
        <v>170</v>
      </c>
      <c r="CY29" s="101">
        <v>54</v>
      </c>
      <c r="DB29" s="100" t="s">
        <v>62</v>
      </c>
      <c r="DC29" s="101">
        <v>38</v>
      </c>
      <c r="DF29" s="100" t="s">
        <v>62</v>
      </c>
      <c r="DG29" s="101">
        <v>23</v>
      </c>
      <c r="DJ29" s="100" t="s">
        <v>62</v>
      </c>
      <c r="DK29" s="101">
        <v>58</v>
      </c>
      <c r="DN29" s="100" t="s">
        <v>62</v>
      </c>
      <c r="DO29" s="101">
        <v>20</v>
      </c>
      <c r="DR29" s="100" t="s">
        <v>62</v>
      </c>
      <c r="DS29" s="101">
        <v>49</v>
      </c>
      <c r="DV29" s="100" t="s">
        <v>62</v>
      </c>
      <c r="DW29" s="101">
        <v>40</v>
      </c>
      <c r="DZ29" s="100" t="s">
        <v>62</v>
      </c>
      <c r="EA29" s="101">
        <v>24</v>
      </c>
      <c r="ED29" s="100" t="s">
        <v>62</v>
      </c>
      <c r="EE29" s="101">
        <v>15</v>
      </c>
      <c r="EH29" s="100" t="s">
        <v>62</v>
      </c>
      <c r="EI29" s="101">
        <v>61</v>
      </c>
      <c r="EK29" s="100" t="s">
        <v>62</v>
      </c>
      <c r="EL29" s="101">
        <v>17</v>
      </c>
      <c r="EO29" s="100" t="s">
        <v>62</v>
      </c>
      <c r="EP29" s="101">
        <v>4</v>
      </c>
      <c r="ES29" s="100" t="s">
        <v>62</v>
      </c>
      <c r="ET29" s="101">
        <v>0.13</v>
      </c>
      <c r="EW29" s="100" t="s">
        <v>170</v>
      </c>
      <c r="EX29" s="101">
        <v>29</v>
      </c>
      <c r="FA29" s="100" t="s">
        <v>264</v>
      </c>
      <c r="FB29" s="101">
        <v>53</v>
      </c>
    </row>
    <row r="30" spans="7:158" x14ac:dyDescent="0.25">
      <c r="G30" s="100" t="s">
        <v>63</v>
      </c>
      <c r="H30" s="101">
        <v>16</v>
      </c>
      <c r="J30" s="8"/>
      <c r="K30" s="100" t="s">
        <v>171</v>
      </c>
      <c r="L30" s="101">
        <v>49</v>
      </c>
      <c r="M30" s="8"/>
      <c r="N30" s="8"/>
      <c r="O30" s="102" t="s">
        <v>63</v>
      </c>
      <c r="P30" s="101">
        <v>6</v>
      </c>
      <c r="Q30" s="8"/>
      <c r="R30" s="8"/>
      <c r="S30" s="100" t="s">
        <v>63</v>
      </c>
      <c r="T30" s="101">
        <v>57</v>
      </c>
      <c r="W30" s="100" t="s">
        <v>63</v>
      </c>
      <c r="X30" s="101">
        <v>33</v>
      </c>
      <c r="AA30" s="100" t="s">
        <v>63</v>
      </c>
      <c r="AB30" s="101">
        <v>22</v>
      </c>
      <c r="AE30" s="100" t="s">
        <v>171</v>
      </c>
      <c r="AF30" s="101">
        <v>6</v>
      </c>
      <c r="AI30" s="100" t="s">
        <v>171</v>
      </c>
      <c r="AJ30" s="101">
        <v>63</v>
      </c>
      <c r="AM30" s="100" t="s">
        <v>171</v>
      </c>
      <c r="AN30" s="101">
        <v>30</v>
      </c>
      <c r="AQ30" s="100" t="s">
        <v>63</v>
      </c>
      <c r="AR30" s="101">
        <v>22</v>
      </c>
      <c r="AU30" s="100" t="s">
        <v>171</v>
      </c>
      <c r="AV30" s="101">
        <v>32</v>
      </c>
      <c r="AY30" s="100" t="s">
        <v>63</v>
      </c>
      <c r="AZ30" s="101">
        <v>38</v>
      </c>
      <c r="BC30" s="100" t="s">
        <v>63</v>
      </c>
      <c r="BD30" s="101">
        <v>62</v>
      </c>
      <c r="BF30" s="100" t="s">
        <v>63</v>
      </c>
      <c r="BG30" s="101">
        <v>28</v>
      </c>
      <c r="BJ30" s="100" t="s">
        <v>63</v>
      </c>
      <c r="BK30" s="101">
        <v>51</v>
      </c>
      <c r="BN30" s="100" t="s">
        <v>171</v>
      </c>
      <c r="BO30" s="101">
        <v>11</v>
      </c>
      <c r="BR30" s="100" t="s">
        <v>171</v>
      </c>
      <c r="BS30" s="101">
        <v>18</v>
      </c>
      <c r="BV30" s="100" t="s">
        <v>171</v>
      </c>
      <c r="BW30" s="101">
        <v>0</v>
      </c>
      <c r="BZ30" s="100" t="s">
        <v>171</v>
      </c>
      <c r="CA30" s="101">
        <v>19</v>
      </c>
      <c r="CD30" s="100" t="s">
        <v>63</v>
      </c>
      <c r="CE30" s="101">
        <v>12</v>
      </c>
      <c r="CH30" s="100" t="s">
        <v>63</v>
      </c>
      <c r="CI30" s="101">
        <v>19</v>
      </c>
      <c r="CL30" s="100" t="s">
        <v>63</v>
      </c>
      <c r="CM30" s="101">
        <v>35</v>
      </c>
      <c r="CP30" s="100" t="s">
        <v>171</v>
      </c>
      <c r="CQ30" s="101">
        <v>92</v>
      </c>
      <c r="CT30" s="100" t="s">
        <v>63</v>
      </c>
      <c r="CU30" s="101">
        <v>21</v>
      </c>
      <c r="CX30" s="100" t="s">
        <v>171</v>
      </c>
      <c r="CY30" s="101">
        <v>43</v>
      </c>
      <c r="DB30" s="100" t="s">
        <v>63</v>
      </c>
      <c r="DC30" s="101">
        <v>36</v>
      </c>
      <c r="DF30" s="100" t="s">
        <v>63</v>
      </c>
      <c r="DG30" s="101">
        <v>29</v>
      </c>
      <c r="DJ30" s="100" t="s">
        <v>63</v>
      </c>
      <c r="DK30" s="101">
        <v>55</v>
      </c>
      <c r="DN30" s="100" t="s">
        <v>63</v>
      </c>
      <c r="DO30" s="101">
        <v>21</v>
      </c>
      <c r="DR30" s="100" t="s">
        <v>63</v>
      </c>
      <c r="DS30" s="101">
        <v>52</v>
      </c>
      <c r="DV30" s="100" t="s">
        <v>63</v>
      </c>
      <c r="DW30" s="101">
        <v>42</v>
      </c>
      <c r="DZ30" s="100" t="s">
        <v>63</v>
      </c>
      <c r="EA30" s="101">
        <v>25</v>
      </c>
      <c r="ED30" s="100" t="s">
        <v>63</v>
      </c>
      <c r="EE30" s="101">
        <v>13</v>
      </c>
      <c r="EH30" s="100" t="s">
        <v>63</v>
      </c>
      <c r="EI30" s="101">
        <v>68</v>
      </c>
      <c r="EK30" s="100" t="s">
        <v>63</v>
      </c>
      <c r="EL30" s="101">
        <v>23</v>
      </c>
      <c r="EO30" s="100" t="s">
        <v>63</v>
      </c>
      <c r="EP30" s="101">
        <v>4</v>
      </c>
      <c r="ES30" s="100" t="s">
        <v>63</v>
      </c>
      <c r="ET30" s="101">
        <v>0.11</v>
      </c>
      <c r="EW30" s="100" t="s">
        <v>171</v>
      </c>
      <c r="EX30" s="101">
        <v>25</v>
      </c>
      <c r="FA30" s="100" t="s">
        <v>265</v>
      </c>
      <c r="FB30" s="101">
        <v>50</v>
      </c>
    </row>
    <row r="31" spans="7:158" ht="15.75" thickBot="1" x14ac:dyDescent="0.3">
      <c r="G31" s="100" t="s">
        <v>64</v>
      </c>
      <c r="H31" s="101">
        <v>15</v>
      </c>
      <c r="J31" s="8"/>
      <c r="K31" s="100" t="s">
        <v>172</v>
      </c>
      <c r="L31" s="101">
        <v>44</v>
      </c>
      <c r="M31" s="8"/>
      <c r="N31" s="8"/>
      <c r="O31" s="102" t="s">
        <v>64</v>
      </c>
      <c r="P31" s="101">
        <v>7</v>
      </c>
      <c r="Q31" s="8"/>
      <c r="R31" s="8"/>
      <c r="S31" s="100" t="s">
        <v>64</v>
      </c>
      <c r="T31" s="101">
        <v>56</v>
      </c>
      <c r="W31" s="100" t="s">
        <v>64</v>
      </c>
      <c r="X31" s="101">
        <v>31</v>
      </c>
      <c r="AA31" s="100" t="s">
        <v>64</v>
      </c>
      <c r="AB31" s="101">
        <v>25</v>
      </c>
      <c r="AE31" s="100" t="s">
        <v>172</v>
      </c>
      <c r="AF31" s="101">
        <v>4</v>
      </c>
      <c r="AI31" s="100" t="s">
        <v>172</v>
      </c>
      <c r="AJ31" s="101">
        <v>79</v>
      </c>
      <c r="AM31" s="100" t="s">
        <v>172</v>
      </c>
      <c r="AN31" s="101">
        <v>0</v>
      </c>
      <c r="AQ31" s="100" t="s">
        <v>64</v>
      </c>
      <c r="AR31" s="101">
        <v>33</v>
      </c>
      <c r="AU31" s="100" t="s">
        <v>172</v>
      </c>
      <c r="AV31" s="101">
        <v>36</v>
      </c>
      <c r="AY31" s="100" t="s">
        <v>64</v>
      </c>
      <c r="AZ31" s="101">
        <v>37</v>
      </c>
      <c r="BC31" s="100" t="s">
        <v>64</v>
      </c>
      <c r="BD31" s="101">
        <v>59</v>
      </c>
      <c r="BF31" s="100" t="s">
        <v>64</v>
      </c>
      <c r="BG31" s="101">
        <v>28</v>
      </c>
      <c r="BJ31" s="100" t="s">
        <v>64</v>
      </c>
      <c r="BK31" s="101">
        <v>50</v>
      </c>
      <c r="BN31" s="100" t="s">
        <v>172</v>
      </c>
      <c r="BO31" s="101">
        <v>17</v>
      </c>
      <c r="BR31" s="100" t="s">
        <v>172</v>
      </c>
      <c r="BS31" s="101">
        <v>15</v>
      </c>
      <c r="BV31" s="100" t="s">
        <v>172</v>
      </c>
      <c r="BW31" s="101">
        <v>0</v>
      </c>
      <c r="BZ31" s="100" t="s">
        <v>172</v>
      </c>
      <c r="CA31" s="101">
        <v>41</v>
      </c>
      <c r="CD31" s="100" t="s">
        <v>64</v>
      </c>
      <c r="CE31" s="101">
        <v>12</v>
      </c>
      <c r="CH31" s="100" t="s">
        <v>64</v>
      </c>
      <c r="CI31" s="101">
        <v>16</v>
      </c>
      <c r="CL31" s="100" t="s">
        <v>64</v>
      </c>
      <c r="CM31" s="101">
        <v>33</v>
      </c>
      <c r="CP31" s="100" t="s">
        <v>172</v>
      </c>
      <c r="CQ31" s="101">
        <v>57</v>
      </c>
      <c r="CT31" s="100" t="s">
        <v>64</v>
      </c>
      <c r="CU31" s="101">
        <v>46</v>
      </c>
      <c r="CX31" s="100" t="s">
        <v>172</v>
      </c>
      <c r="CY31" s="101">
        <v>29</v>
      </c>
      <c r="DB31" s="100" t="s">
        <v>64</v>
      </c>
      <c r="DC31" s="101">
        <v>31</v>
      </c>
      <c r="DF31" s="100" t="s">
        <v>64</v>
      </c>
      <c r="DG31" s="101">
        <v>18</v>
      </c>
      <c r="DJ31" s="100" t="s">
        <v>64</v>
      </c>
      <c r="DK31" s="101">
        <v>53</v>
      </c>
      <c r="DN31" s="100" t="s">
        <v>64</v>
      </c>
      <c r="DO31" s="101">
        <v>20</v>
      </c>
      <c r="DR31" s="100" t="s">
        <v>64</v>
      </c>
      <c r="DS31" s="101">
        <v>66</v>
      </c>
      <c r="DV31" s="100" t="s">
        <v>64</v>
      </c>
      <c r="DW31" s="101">
        <v>35</v>
      </c>
      <c r="DZ31" s="100" t="s">
        <v>64</v>
      </c>
      <c r="EA31" s="101">
        <v>29</v>
      </c>
      <c r="ED31" s="100" t="s">
        <v>64</v>
      </c>
      <c r="EE31" s="101">
        <v>12</v>
      </c>
      <c r="EH31" s="100" t="s">
        <v>64</v>
      </c>
      <c r="EI31" s="101">
        <v>57</v>
      </c>
      <c r="EK31" s="100" t="s">
        <v>64</v>
      </c>
      <c r="EL31" s="101">
        <v>20</v>
      </c>
      <c r="EO31" s="100" t="s">
        <v>64</v>
      </c>
      <c r="EP31" s="101">
        <v>4</v>
      </c>
      <c r="ES31" s="100" t="s">
        <v>64</v>
      </c>
      <c r="ET31" s="101">
        <v>0.11</v>
      </c>
      <c r="EW31" s="104" t="s">
        <v>172</v>
      </c>
      <c r="EX31" s="105">
        <v>27</v>
      </c>
      <c r="FA31" s="100" t="s">
        <v>266</v>
      </c>
      <c r="FB31" s="101">
        <v>47</v>
      </c>
    </row>
    <row r="32" spans="7:158" x14ac:dyDescent="0.25">
      <c r="G32" s="100" t="s">
        <v>65</v>
      </c>
      <c r="H32" s="101">
        <v>14</v>
      </c>
      <c r="J32" s="8"/>
      <c r="K32" s="9"/>
      <c r="L32" s="22"/>
      <c r="M32" s="8"/>
      <c r="N32" s="8"/>
      <c r="O32" s="102" t="s">
        <v>65</v>
      </c>
      <c r="P32" s="101">
        <v>4</v>
      </c>
      <c r="Q32" s="8"/>
      <c r="R32" s="8"/>
      <c r="S32" s="100" t="s">
        <v>65</v>
      </c>
      <c r="T32" s="101">
        <v>53</v>
      </c>
      <c r="W32" s="100" t="s">
        <v>65</v>
      </c>
      <c r="X32" s="101">
        <v>29</v>
      </c>
      <c r="AA32" s="100" t="s">
        <v>65</v>
      </c>
      <c r="AB32" s="101">
        <v>25</v>
      </c>
      <c r="AI32" s="9"/>
      <c r="AJ32" s="22"/>
      <c r="AM32" s="9"/>
      <c r="AN32" s="22"/>
      <c r="AQ32" s="100" t="s">
        <v>65</v>
      </c>
      <c r="AR32" s="101">
        <v>33</v>
      </c>
      <c r="AU32" s="9"/>
      <c r="AV32" s="22"/>
      <c r="AY32" s="100" t="s">
        <v>65</v>
      </c>
      <c r="AZ32" s="101">
        <v>37</v>
      </c>
      <c r="BC32" s="100" t="s">
        <v>65</v>
      </c>
      <c r="BD32" s="101">
        <v>59</v>
      </c>
      <c r="BF32" s="100" t="s">
        <v>65</v>
      </c>
      <c r="BG32" s="101">
        <v>28</v>
      </c>
      <c r="BJ32" s="100" t="s">
        <v>65</v>
      </c>
      <c r="BK32" s="101">
        <v>60</v>
      </c>
      <c r="BN32" s="9"/>
      <c r="BO32" s="22"/>
      <c r="BR32" s="9"/>
      <c r="BS32" s="22"/>
      <c r="BV32" s="9"/>
      <c r="BW32" s="22"/>
      <c r="BZ32" s="9"/>
      <c r="CA32" s="22"/>
      <c r="CD32" s="100" t="s">
        <v>65</v>
      </c>
      <c r="CE32" s="101">
        <v>11</v>
      </c>
      <c r="CH32" s="100" t="s">
        <v>65</v>
      </c>
      <c r="CI32" s="101">
        <v>15</v>
      </c>
      <c r="CL32" s="100" t="s">
        <v>65</v>
      </c>
      <c r="CM32" s="101">
        <v>33</v>
      </c>
      <c r="CP32" s="9"/>
      <c r="CQ32" s="22"/>
      <c r="CT32" s="100" t="s">
        <v>65</v>
      </c>
      <c r="CU32" s="101">
        <v>32</v>
      </c>
      <c r="DB32" s="100" t="s">
        <v>65</v>
      </c>
      <c r="DC32" s="101">
        <v>47</v>
      </c>
      <c r="DF32" s="100" t="s">
        <v>65</v>
      </c>
      <c r="DG32" s="101">
        <v>23</v>
      </c>
      <c r="DJ32" s="100" t="s">
        <v>65</v>
      </c>
      <c r="DK32" s="101">
        <v>51</v>
      </c>
      <c r="DN32" s="100" t="s">
        <v>65</v>
      </c>
      <c r="DO32" s="101">
        <v>21</v>
      </c>
      <c r="DR32" s="100" t="s">
        <v>65</v>
      </c>
      <c r="DS32" s="101">
        <v>50</v>
      </c>
      <c r="DV32" s="100" t="s">
        <v>65</v>
      </c>
      <c r="DW32" s="101">
        <v>33</v>
      </c>
      <c r="DZ32" s="100" t="s">
        <v>65</v>
      </c>
      <c r="EA32" s="101">
        <v>22</v>
      </c>
      <c r="ED32" s="100" t="s">
        <v>65</v>
      </c>
      <c r="EE32" s="101">
        <v>13</v>
      </c>
      <c r="EH32" s="100" t="s">
        <v>65</v>
      </c>
      <c r="EI32" s="101">
        <v>62</v>
      </c>
      <c r="EK32" s="100" t="s">
        <v>65</v>
      </c>
      <c r="EL32" s="101">
        <v>23</v>
      </c>
      <c r="EO32" s="100" t="s">
        <v>65</v>
      </c>
      <c r="EP32" s="101">
        <v>4</v>
      </c>
      <c r="ES32" s="100" t="s">
        <v>65</v>
      </c>
      <c r="ET32" s="101">
        <v>0.13</v>
      </c>
      <c r="FA32" s="100" t="s">
        <v>267</v>
      </c>
      <c r="FB32" s="101">
        <v>51</v>
      </c>
    </row>
    <row r="33" spans="2:158" x14ac:dyDescent="0.25">
      <c r="G33" s="100" t="s">
        <v>66</v>
      </c>
      <c r="H33" s="101">
        <v>11</v>
      </c>
      <c r="J33" s="8"/>
      <c r="K33" s="9"/>
      <c r="L33" s="22"/>
      <c r="M33" s="8"/>
      <c r="N33" s="8"/>
      <c r="O33" s="102" t="s">
        <v>66</v>
      </c>
      <c r="P33" s="101">
        <v>5</v>
      </c>
      <c r="Q33" s="8"/>
      <c r="R33" s="8"/>
      <c r="S33" s="100" t="s">
        <v>66</v>
      </c>
      <c r="T33" s="101">
        <v>52</v>
      </c>
      <c r="W33" s="100" t="s">
        <v>66</v>
      </c>
      <c r="X33" s="101">
        <v>27</v>
      </c>
      <c r="AA33" s="100" t="s">
        <v>66</v>
      </c>
      <c r="AB33" s="101">
        <v>27</v>
      </c>
      <c r="AI33" s="9"/>
      <c r="AJ33" s="22"/>
      <c r="AM33" s="9"/>
      <c r="AN33" s="22"/>
      <c r="AQ33" s="100" t="s">
        <v>66</v>
      </c>
      <c r="AR33" s="101">
        <v>25</v>
      </c>
      <c r="AU33" s="9"/>
      <c r="AV33" s="22"/>
      <c r="AY33" s="100" t="s">
        <v>66</v>
      </c>
      <c r="AZ33" s="101">
        <v>35</v>
      </c>
      <c r="BC33" s="100" t="s">
        <v>66</v>
      </c>
      <c r="BD33" s="101">
        <v>64</v>
      </c>
      <c r="BF33" s="100" t="s">
        <v>66</v>
      </c>
      <c r="BG33" s="101">
        <v>25</v>
      </c>
      <c r="BJ33" s="100" t="s">
        <v>66</v>
      </c>
      <c r="BK33" s="101">
        <v>40</v>
      </c>
      <c r="BN33" s="9"/>
      <c r="BO33" s="22"/>
      <c r="BR33" s="9"/>
      <c r="BS33" s="22"/>
      <c r="BV33" s="9"/>
      <c r="BW33" s="22"/>
      <c r="BZ33" s="9"/>
      <c r="CA33" s="22"/>
      <c r="CD33" s="100" t="s">
        <v>66</v>
      </c>
      <c r="CE33" s="101">
        <v>11</v>
      </c>
      <c r="CH33" s="100" t="s">
        <v>66</v>
      </c>
      <c r="CI33" s="101">
        <v>10</v>
      </c>
      <c r="CL33" s="100" t="s">
        <v>66</v>
      </c>
      <c r="CM33" s="101">
        <v>30</v>
      </c>
      <c r="CP33" s="9"/>
      <c r="CQ33" s="22"/>
      <c r="CT33" s="100" t="s">
        <v>66</v>
      </c>
      <c r="CU33" s="101">
        <v>35</v>
      </c>
      <c r="DB33" s="100" t="s">
        <v>66</v>
      </c>
      <c r="DC33" s="101">
        <v>39</v>
      </c>
      <c r="DF33" s="100" t="s">
        <v>66</v>
      </c>
      <c r="DG33" s="101">
        <v>21</v>
      </c>
      <c r="DJ33" s="100" t="s">
        <v>66</v>
      </c>
      <c r="DK33" s="101">
        <v>48</v>
      </c>
      <c r="DN33" s="100" t="s">
        <v>66</v>
      </c>
      <c r="DO33" s="101">
        <v>19</v>
      </c>
      <c r="DR33" s="100" t="s">
        <v>66</v>
      </c>
      <c r="DS33" s="101">
        <v>47</v>
      </c>
      <c r="DV33" s="100" t="s">
        <v>66</v>
      </c>
      <c r="DW33" s="101">
        <v>37</v>
      </c>
      <c r="DZ33" s="100" t="s">
        <v>66</v>
      </c>
      <c r="EA33" s="101">
        <v>30</v>
      </c>
      <c r="ED33" s="100" t="s">
        <v>66</v>
      </c>
      <c r="EE33" s="101">
        <v>13</v>
      </c>
      <c r="EH33" s="100" t="s">
        <v>66</v>
      </c>
      <c r="EI33" s="101">
        <v>59</v>
      </c>
      <c r="EK33" s="100" t="s">
        <v>66</v>
      </c>
      <c r="EL33" s="101">
        <v>22</v>
      </c>
      <c r="EO33" s="100" t="s">
        <v>66</v>
      </c>
      <c r="EP33" s="101">
        <v>4</v>
      </c>
      <c r="ES33" s="100" t="s">
        <v>66</v>
      </c>
      <c r="ET33" s="101">
        <v>0.11</v>
      </c>
      <c r="FA33" s="100" t="s">
        <v>268</v>
      </c>
      <c r="FB33" s="101">
        <v>47</v>
      </c>
    </row>
    <row r="34" spans="2:158" x14ac:dyDescent="0.25">
      <c r="G34" s="100" t="s">
        <v>67</v>
      </c>
      <c r="H34" s="101">
        <v>10</v>
      </c>
      <c r="J34" s="8"/>
      <c r="K34" s="9"/>
      <c r="L34" s="22"/>
      <c r="M34" s="8"/>
      <c r="N34" s="8"/>
      <c r="O34" s="102" t="s">
        <v>67</v>
      </c>
      <c r="P34" s="101">
        <v>8</v>
      </c>
      <c r="Q34" s="8"/>
      <c r="R34" s="8"/>
      <c r="S34" s="100" t="s">
        <v>67</v>
      </c>
      <c r="T34" s="101">
        <v>51</v>
      </c>
      <c r="W34" s="100" t="s">
        <v>67</v>
      </c>
      <c r="X34" s="101">
        <v>27</v>
      </c>
      <c r="AA34" s="100" t="s">
        <v>67</v>
      </c>
      <c r="AB34" s="101">
        <v>24</v>
      </c>
      <c r="AI34" s="9"/>
      <c r="AJ34" s="22"/>
      <c r="AM34" s="9"/>
      <c r="AN34" s="22"/>
      <c r="AQ34" s="100" t="s">
        <v>67</v>
      </c>
      <c r="AR34" s="101">
        <v>34</v>
      </c>
      <c r="AU34" s="9"/>
      <c r="AV34" s="22"/>
      <c r="AY34" s="100" t="s">
        <v>67</v>
      </c>
      <c r="AZ34" s="101">
        <v>35</v>
      </c>
      <c r="BC34" s="100" t="s">
        <v>67</v>
      </c>
      <c r="BD34" s="101">
        <v>60</v>
      </c>
      <c r="BF34" s="100" t="s">
        <v>67</v>
      </c>
      <c r="BG34" s="101">
        <v>27</v>
      </c>
      <c r="BJ34" s="100" t="s">
        <v>67</v>
      </c>
      <c r="BK34" s="101">
        <v>52</v>
      </c>
      <c r="BN34" s="9"/>
      <c r="BO34" s="22"/>
      <c r="BR34" s="9"/>
      <c r="BS34" s="22"/>
      <c r="BV34" s="9"/>
      <c r="BW34" s="22"/>
      <c r="BZ34" s="9"/>
      <c r="CA34" s="22"/>
      <c r="CD34" s="100" t="s">
        <v>67</v>
      </c>
      <c r="CE34" s="101">
        <v>11</v>
      </c>
      <c r="CH34" s="100" t="s">
        <v>67</v>
      </c>
      <c r="CI34" s="101">
        <v>11</v>
      </c>
      <c r="CL34" s="100" t="s">
        <v>67</v>
      </c>
      <c r="CM34" s="101">
        <v>25</v>
      </c>
      <c r="CP34" s="9"/>
      <c r="CQ34" s="22"/>
      <c r="CT34" s="100" t="s">
        <v>67</v>
      </c>
      <c r="CU34" s="101">
        <v>43</v>
      </c>
      <c r="DB34" s="100" t="s">
        <v>67</v>
      </c>
      <c r="DC34" s="101">
        <v>25</v>
      </c>
      <c r="DF34" s="100" t="s">
        <v>67</v>
      </c>
      <c r="DG34" s="101">
        <v>27</v>
      </c>
      <c r="DJ34" s="100" t="s">
        <v>67</v>
      </c>
      <c r="DK34" s="101">
        <v>44</v>
      </c>
      <c r="DN34" s="100" t="s">
        <v>67</v>
      </c>
      <c r="DO34" s="101">
        <v>19</v>
      </c>
      <c r="DR34" s="100" t="s">
        <v>67</v>
      </c>
      <c r="DS34" s="101">
        <v>60</v>
      </c>
      <c r="DV34" s="100" t="s">
        <v>67</v>
      </c>
      <c r="DW34" s="101">
        <v>61</v>
      </c>
      <c r="DZ34" s="100" t="s">
        <v>67</v>
      </c>
      <c r="EA34" s="101">
        <v>33</v>
      </c>
      <c r="ED34" s="100" t="s">
        <v>67</v>
      </c>
      <c r="EE34" s="101">
        <v>14</v>
      </c>
      <c r="EH34" s="100" t="s">
        <v>67</v>
      </c>
      <c r="EI34" s="101">
        <v>52</v>
      </c>
      <c r="EK34" s="100" t="s">
        <v>67</v>
      </c>
      <c r="EL34" s="101">
        <v>19</v>
      </c>
      <c r="EO34" s="100" t="s">
        <v>67</v>
      </c>
      <c r="EP34" s="101">
        <v>0</v>
      </c>
      <c r="ES34" s="100" t="s">
        <v>67</v>
      </c>
      <c r="ET34" s="101">
        <v>0.8</v>
      </c>
      <c r="FA34" s="100" t="s">
        <v>269</v>
      </c>
      <c r="FB34" s="101">
        <v>46</v>
      </c>
    </row>
    <row r="35" spans="2:158" x14ac:dyDescent="0.25">
      <c r="G35" s="100" t="s">
        <v>68</v>
      </c>
      <c r="H35" s="101">
        <v>11</v>
      </c>
      <c r="J35" s="8"/>
      <c r="K35" s="9"/>
      <c r="L35" s="22"/>
      <c r="M35" s="8"/>
      <c r="N35" s="8"/>
      <c r="O35" s="102" t="s">
        <v>68</v>
      </c>
      <c r="P35" s="101">
        <v>4</v>
      </c>
      <c r="Q35" s="8"/>
      <c r="R35" s="8"/>
      <c r="S35" s="100" t="s">
        <v>68</v>
      </c>
      <c r="T35" s="101">
        <v>54</v>
      </c>
      <c r="W35" s="100" t="s">
        <v>68</v>
      </c>
      <c r="X35" s="101">
        <v>35</v>
      </c>
      <c r="AA35" s="100" t="s">
        <v>68</v>
      </c>
      <c r="AB35" s="101">
        <v>25</v>
      </c>
      <c r="AI35" s="9"/>
      <c r="AJ35" s="22"/>
      <c r="AM35" s="9"/>
      <c r="AN35" s="22"/>
      <c r="AQ35" s="100" t="s">
        <v>68</v>
      </c>
      <c r="AR35" s="101">
        <v>36</v>
      </c>
      <c r="AU35" s="9"/>
      <c r="AV35" s="22"/>
      <c r="AY35" s="100" t="s">
        <v>68</v>
      </c>
      <c r="AZ35" s="101">
        <v>35</v>
      </c>
      <c r="BC35" s="100" t="s">
        <v>68</v>
      </c>
      <c r="BD35" s="101">
        <v>61</v>
      </c>
      <c r="BF35" s="100" t="s">
        <v>68</v>
      </c>
      <c r="BG35" s="101">
        <v>38</v>
      </c>
      <c r="BJ35" s="100" t="s">
        <v>68</v>
      </c>
      <c r="BK35" s="101">
        <v>50</v>
      </c>
      <c r="BN35" s="9"/>
      <c r="BO35" s="22"/>
      <c r="BR35" s="9"/>
      <c r="BS35" s="22"/>
      <c r="BV35" s="9"/>
      <c r="BW35" s="22"/>
      <c r="BZ35" s="9"/>
      <c r="CA35" s="22"/>
      <c r="CD35" s="100" t="s">
        <v>68</v>
      </c>
      <c r="CE35" s="101">
        <v>11</v>
      </c>
      <c r="CH35" s="100" t="s">
        <v>68</v>
      </c>
      <c r="CI35" s="101">
        <v>11</v>
      </c>
      <c r="CL35" s="100" t="s">
        <v>68</v>
      </c>
      <c r="CM35" s="101">
        <v>31</v>
      </c>
      <c r="CP35" s="9"/>
      <c r="CQ35" s="22"/>
      <c r="CT35" s="100" t="s">
        <v>68</v>
      </c>
      <c r="CU35" s="101">
        <v>45</v>
      </c>
      <c r="DB35" s="100" t="s">
        <v>68</v>
      </c>
      <c r="DC35" s="101">
        <v>30</v>
      </c>
      <c r="DF35" s="100" t="s">
        <v>68</v>
      </c>
      <c r="DG35" s="101">
        <v>14</v>
      </c>
      <c r="DJ35" s="100" t="s">
        <v>68</v>
      </c>
      <c r="DK35" s="101">
        <v>46</v>
      </c>
      <c r="DN35" s="100" t="s">
        <v>68</v>
      </c>
      <c r="DO35" s="101">
        <v>18</v>
      </c>
      <c r="DR35" s="100" t="s">
        <v>68</v>
      </c>
      <c r="DS35" s="101">
        <v>59</v>
      </c>
      <c r="DV35" s="100" t="s">
        <v>68</v>
      </c>
      <c r="DW35" s="101">
        <v>58</v>
      </c>
      <c r="DZ35" s="100" t="s">
        <v>68</v>
      </c>
      <c r="EA35" s="101">
        <v>30</v>
      </c>
      <c r="ED35" s="100" t="s">
        <v>68</v>
      </c>
      <c r="EE35" s="101">
        <v>12</v>
      </c>
      <c r="EH35" s="100" t="s">
        <v>68</v>
      </c>
      <c r="EI35" s="101">
        <v>60</v>
      </c>
      <c r="EK35" s="100" t="s">
        <v>68</v>
      </c>
      <c r="EL35" s="101">
        <v>21</v>
      </c>
      <c r="EO35" s="100" t="s">
        <v>68</v>
      </c>
      <c r="EP35" s="101">
        <v>0</v>
      </c>
      <c r="ES35" s="100" t="s">
        <v>68</v>
      </c>
      <c r="ET35" s="101">
        <v>0.9</v>
      </c>
      <c r="FA35" s="100" t="s">
        <v>270</v>
      </c>
      <c r="FB35" s="101">
        <v>50</v>
      </c>
    </row>
    <row r="36" spans="2:158" x14ac:dyDescent="0.25">
      <c r="G36" s="100" t="s">
        <v>69</v>
      </c>
      <c r="H36" s="101">
        <v>11</v>
      </c>
      <c r="J36" s="8"/>
      <c r="K36" s="9"/>
      <c r="L36" s="22"/>
      <c r="M36" s="8"/>
      <c r="N36" s="8"/>
      <c r="O36" s="102" t="s">
        <v>69</v>
      </c>
      <c r="P36" s="101">
        <v>6</v>
      </c>
      <c r="Q36" s="8"/>
      <c r="R36" s="8"/>
      <c r="S36" s="100" t="s">
        <v>69</v>
      </c>
      <c r="T36" s="101">
        <v>51</v>
      </c>
      <c r="W36" s="100" t="s">
        <v>69</v>
      </c>
      <c r="X36" s="101">
        <v>37</v>
      </c>
      <c r="AA36" s="100" t="s">
        <v>69</v>
      </c>
      <c r="AB36" s="101">
        <v>25</v>
      </c>
      <c r="AI36" s="9"/>
      <c r="AJ36" s="22"/>
      <c r="AM36" s="9"/>
      <c r="AN36" s="22"/>
      <c r="AQ36" s="100" t="s">
        <v>69</v>
      </c>
      <c r="AR36" s="101">
        <v>37</v>
      </c>
      <c r="AU36" s="9"/>
      <c r="AV36" s="22"/>
      <c r="AY36" s="100" t="s">
        <v>69</v>
      </c>
      <c r="AZ36" s="101">
        <v>35</v>
      </c>
      <c r="BC36" s="100" t="s">
        <v>69</v>
      </c>
      <c r="BD36" s="101">
        <v>63</v>
      </c>
      <c r="BF36" s="100" t="s">
        <v>69</v>
      </c>
      <c r="BG36" s="101">
        <v>36</v>
      </c>
      <c r="BJ36" s="100" t="s">
        <v>69</v>
      </c>
      <c r="BK36" s="101">
        <v>44</v>
      </c>
      <c r="BN36" s="9"/>
      <c r="BO36" s="22"/>
      <c r="BR36" s="9"/>
      <c r="BS36" s="22"/>
      <c r="BV36" s="9"/>
      <c r="BW36" s="22"/>
      <c r="BZ36" s="9"/>
      <c r="CA36" s="22"/>
      <c r="CD36" s="100" t="s">
        <v>69</v>
      </c>
      <c r="CE36" s="101">
        <v>14</v>
      </c>
      <c r="CH36" s="100" t="s">
        <v>69</v>
      </c>
      <c r="CI36" s="101">
        <v>11</v>
      </c>
      <c r="CL36" s="100" t="s">
        <v>69</v>
      </c>
      <c r="CM36" s="101">
        <v>25</v>
      </c>
      <c r="CP36" s="9"/>
      <c r="CQ36" s="22"/>
      <c r="CT36" s="100" t="s">
        <v>69</v>
      </c>
      <c r="CU36" s="101">
        <v>29</v>
      </c>
      <c r="DB36" s="100" t="s">
        <v>69</v>
      </c>
      <c r="DC36" s="101">
        <v>32</v>
      </c>
      <c r="DF36" s="100" t="s">
        <v>69</v>
      </c>
      <c r="DG36" s="101">
        <v>21</v>
      </c>
      <c r="DJ36" s="100" t="s">
        <v>69</v>
      </c>
      <c r="DK36" s="101">
        <v>49</v>
      </c>
      <c r="DN36" s="100" t="s">
        <v>69</v>
      </c>
      <c r="DO36" s="101">
        <v>17</v>
      </c>
      <c r="DR36" s="100" t="s">
        <v>69</v>
      </c>
      <c r="DS36" s="101">
        <v>38</v>
      </c>
      <c r="DV36" s="100" t="s">
        <v>69</v>
      </c>
      <c r="DW36" s="101">
        <v>43</v>
      </c>
      <c r="DZ36" s="100" t="s">
        <v>69</v>
      </c>
      <c r="EA36" s="101">
        <v>15</v>
      </c>
      <c r="ED36" s="100" t="s">
        <v>69</v>
      </c>
      <c r="EE36" s="101">
        <v>12</v>
      </c>
      <c r="EH36" s="100" t="s">
        <v>69</v>
      </c>
      <c r="EI36" s="101">
        <v>59</v>
      </c>
      <c r="EK36" s="100" t="s">
        <v>69</v>
      </c>
      <c r="EL36" s="101">
        <v>20</v>
      </c>
      <c r="EO36" s="100" t="s">
        <v>69</v>
      </c>
      <c r="EP36" s="101">
        <v>0</v>
      </c>
      <c r="ES36" s="100" t="s">
        <v>69</v>
      </c>
      <c r="ET36" s="101">
        <v>0.11</v>
      </c>
      <c r="FA36" s="100" t="s">
        <v>271</v>
      </c>
      <c r="FB36" s="101">
        <v>44</v>
      </c>
    </row>
    <row r="37" spans="2:158" x14ac:dyDescent="0.25">
      <c r="G37" s="100" t="s">
        <v>70</v>
      </c>
      <c r="H37" s="101">
        <v>13</v>
      </c>
      <c r="J37" s="8"/>
      <c r="K37" s="9"/>
      <c r="L37" s="22"/>
      <c r="M37" s="8"/>
      <c r="N37" s="8"/>
      <c r="O37" s="102" t="s">
        <v>70</v>
      </c>
      <c r="P37" s="101">
        <v>5</v>
      </c>
      <c r="Q37" s="8"/>
      <c r="R37" s="8"/>
      <c r="S37" s="100" t="s">
        <v>70</v>
      </c>
      <c r="T37" s="101">
        <v>54</v>
      </c>
      <c r="W37" s="100" t="s">
        <v>70</v>
      </c>
      <c r="X37" s="101">
        <v>32</v>
      </c>
      <c r="AA37" s="100" t="s">
        <v>70</v>
      </c>
      <c r="AB37" s="101">
        <v>24</v>
      </c>
      <c r="AI37" s="9"/>
      <c r="AJ37" s="22"/>
      <c r="AM37" s="9"/>
      <c r="AN37" s="22"/>
      <c r="AQ37" s="100" t="s">
        <v>70</v>
      </c>
      <c r="AR37" s="101">
        <v>38</v>
      </c>
      <c r="AU37" s="9"/>
      <c r="AV37" s="22"/>
      <c r="AY37" s="100" t="s">
        <v>70</v>
      </c>
      <c r="AZ37" s="101">
        <v>37</v>
      </c>
      <c r="BC37" s="100" t="s">
        <v>70</v>
      </c>
      <c r="BD37" s="101">
        <v>59</v>
      </c>
      <c r="BF37" s="100" t="s">
        <v>70</v>
      </c>
      <c r="BG37" s="101">
        <v>27</v>
      </c>
      <c r="BJ37" s="100" t="s">
        <v>70</v>
      </c>
      <c r="BK37" s="101">
        <v>32</v>
      </c>
      <c r="BN37" s="9"/>
      <c r="BO37" s="22"/>
      <c r="BR37" s="9"/>
      <c r="BS37" s="22"/>
      <c r="BV37" s="9"/>
      <c r="BW37" s="22"/>
      <c r="BZ37" s="9"/>
      <c r="CA37" s="22"/>
      <c r="CD37" s="100" t="s">
        <v>70</v>
      </c>
      <c r="CE37" s="101">
        <v>13</v>
      </c>
      <c r="CH37" s="100" t="s">
        <v>70</v>
      </c>
      <c r="CI37" s="101">
        <v>12</v>
      </c>
      <c r="CL37" s="100" t="s">
        <v>70</v>
      </c>
      <c r="CM37" s="101">
        <v>32</v>
      </c>
      <c r="CP37" s="9"/>
      <c r="CQ37" s="22"/>
      <c r="CT37" s="100" t="s">
        <v>70</v>
      </c>
      <c r="CU37" s="101">
        <v>35</v>
      </c>
      <c r="DB37" s="100" t="s">
        <v>70</v>
      </c>
      <c r="DC37" s="101">
        <v>29</v>
      </c>
      <c r="DF37" s="100" t="s">
        <v>70</v>
      </c>
      <c r="DG37" s="101">
        <v>19</v>
      </c>
      <c r="DJ37" s="100" t="s">
        <v>70</v>
      </c>
      <c r="DK37" s="101">
        <v>48</v>
      </c>
      <c r="DN37" s="100" t="s">
        <v>70</v>
      </c>
      <c r="DO37" s="101">
        <v>18</v>
      </c>
      <c r="DR37" s="100" t="s">
        <v>70</v>
      </c>
      <c r="DS37" s="101">
        <v>48</v>
      </c>
      <c r="DV37" s="100" t="s">
        <v>70</v>
      </c>
      <c r="DW37" s="101">
        <v>32</v>
      </c>
      <c r="DZ37" s="100" t="s">
        <v>70</v>
      </c>
      <c r="EA37" s="101">
        <v>21</v>
      </c>
      <c r="ED37" s="100" t="s">
        <v>70</v>
      </c>
      <c r="EE37" s="101">
        <v>13</v>
      </c>
      <c r="EH37" s="100" t="s">
        <v>70</v>
      </c>
      <c r="EI37" s="101">
        <v>60</v>
      </c>
      <c r="EK37" s="100" t="s">
        <v>70</v>
      </c>
      <c r="EL37" s="101">
        <v>20</v>
      </c>
      <c r="EO37" s="100" t="s">
        <v>70</v>
      </c>
      <c r="EP37" s="101">
        <v>0</v>
      </c>
      <c r="ES37" s="100" t="s">
        <v>70</v>
      </c>
      <c r="ET37" s="101">
        <v>0.14000000000000001</v>
      </c>
      <c r="FA37" s="100" t="s">
        <v>272</v>
      </c>
      <c r="FB37" s="101">
        <v>48</v>
      </c>
    </row>
    <row r="38" spans="2:158" x14ac:dyDescent="0.25">
      <c r="B38"/>
      <c r="G38" s="100" t="s">
        <v>71</v>
      </c>
      <c r="H38" s="101">
        <v>11</v>
      </c>
      <c r="J38" s="8"/>
      <c r="K38" s="9"/>
      <c r="L38" s="22"/>
      <c r="M38" s="8"/>
      <c r="N38" s="8"/>
      <c r="O38" s="102" t="s">
        <v>71</v>
      </c>
      <c r="P38" s="101">
        <v>5</v>
      </c>
      <c r="Q38" s="8"/>
      <c r="R38" s="8"/>
      <c r="S38" s="100" t="s">
        <v>71</v>
      </c>
      <c r="T38" s="101">
        <v>56</v>
      </c>
      <c r="W38" s="100" t="s">
        <v>71</v>
      </c>
      <c r="X38" s="101">
        <v>30</v>
      </c>
      <c r="AA38" s="100" t="s">
        <v>71</v>
      </c>
      <c r="AB38" s="101">
        <v>21</v>
      </c>
      <c r="AI38" s="9"/>
      <c r="AJ38" s="22"/>
      <c r="AM38" s="9"/>
      <c r="AN38" s="22"/>
      <c r="AQ38" s="100" t="s">
        <v>71</v>
      </c>
      <c r="AR38" s="101">
        <v>51</v>
      </c>
      <c r="AU38" s="9"/>
      <c r="AV38" s="22"/>
      <c r="AY38" s="100" t="s">
        <v>71</v>
      </c>
      <c r="AZ38" s="101">
        <v>48</v>
      </c>
      <c r="BC38" s="100" t="s">
        <v>71</v>
      </c>
      <c r="BD38" s="101">
        <v>56</v>
      </c>
      <c r="BF38" s="100" t="s">
        <v>71</v>
      </c>
      <c r="BG38" s="101">
        <v>26</v>
      </c>
      <c r="BJ38" s="100" t="s">
        <v>71</v>
      </c>
      <c r="BK38" s="101">
        <v>29</v>
      </c>
      <c r="BN38" s="9"/>
      <c r="BO38" s="22"/>
      <c r="BR38" s="9"/>
      <c r="BS38" s="22"/>
      <c r="BV38" s="9"/>
      <c r="BW38" s="22"/>
      <c r="BZ38" s="9"/>
      <c r="CA38" s="22"/>
      <c r="CD38" s="100" t="s">
        <v>71</v>
      </c>
      <c r="CE38" s="101">
        <v>11</v>
      </c>
      <c r="CH38" s="100" t="s">
        <v>71</v>
      </c>
      <c r="CI38" s="101">
        <v>14</v>
      </c>
      <c r="CL38" s="100" t="s">
        <v>71</v>
      </c>
      <c r="CM38" s="101">
        <v>27</v>
      </c>
      <c r="CP38" s="9"/>
      <c r="CQ38" s="22"/>
      <c r="CT38" s="100" t="s">
        <v>71</v>
      </c>
      <c r="CU38" s="101">
        <v>51</v>
      </c>
      <c r="DB38" s="100" t="s">
        <v>71</v>
      </c>
      <c r="DC38" s="101">
        <v>27</v>
      </c>
      <c r="DF38" s="100" t="s">
        <v>71</v>
      </c>
      <c r="DG38" s="101">
        <v>25</v>
      </c>
      <c r="DJ38" s="100" t="s">
        <v>71</v>
      </c>
      <c r="DK38" s="101">
        <v>43</v>
      </c>
      <c r="DN38" s="100" t="s">
        <v>71</v>
      </c>
      <c r="DO38" s="101">
        <v>20</v>
      </c>
      <c r="DR38" s="100" t="s">
        <v>71</v>
      </c>
      <c r="DS38" s="101">
        <v>50</v>
      </c>
      <c r="DV38" s="100" t="s">
        <v>71</v>
      </c>
      <c r="DW38" s="101">
        <v>30</v>
      </c>
      <c r="DZ38" s="100" t="s">
        <v>71</v>
      </c>
      <c r="EA38" s="101">
        <v>29</v>
      </c>
      <c r="ED38" s="100" t="s">
        <v>71</v>
      </c>
      <c r="EE38" s="101">
        <v>12</v>
      </c>
      <c r="EH38" s="100" t="s">
        <v>71</v>
      </c>
      <c r="EI38" s="101">
        <v>49</v>
      </c>
      <c r="EK38" s="100" t="s">
        <v>71</v>
      </c>
      <c r="EL38" s="101">
        <v>20</v>
      </c>
      <c r="EO38" s="100" t="s">
        <v>71</v>
      </c>
      <c r="EP38" s="101">
        <v>0</v>
      </c>
      <c r="ES38" s="100" t="s">
        <v>71</v>
      </c>
      <c r="ET38" s="101">
        <v>0.12</v>
      </c>
      <c r="FA38" s="100" t="s">
        <v>273</v>
      </c>
      <c r="FB38" s="101">
        <v>43</v>
      </c>
    </row>
    <row r="39" spans="2:158" x14ac:dyDescent="0.25">
      <c r="G39" s="100" t="s">
        <v>72</v>
      </c>
      <c r="H39" s="101">
        <v>11</v>
      </c>
      <c r="J39" s="8"/>
      <c r="K39" s="9"/>
      <c r="L39" s="22"/>
      <c r="M39" s="8"/>
      <c r="N39" s="8"/>
      <c r="O39" s="102" t="s">
        <v>72</v>
      </c>
      <c r="P39" s="101">
        <v>4</v>
      </c>
      <c r="Q39" s="8"/>
      <c r="R39" s="8"/>
      <c r="S39" s="100" t="s">
        <v>72</v>
      </c>
      <c r="T39" s="101">
        <v>53</v>
      </c>
      <c r="W39" s="100" t="s">
        <v>72</v>
      </c>
      <c r="X39" s="101">
        <v>28</v>
      </c>
      <c r="AA39" s="100" t="s">
        <v>72</v>
      </c>
      <c r="AB39" s="101">
        <v>24</v>
      </c>
      <c r="AI39" s="9"/>
      <c r="AJ39" s="22"/>
      <c r="AM39" s="9"/>
      <c r="AN39" s="22"/>
      <c r="AQ39" s="100" t="s">
        <v>72</v>
      </c>
      <c r="AR39" s="101">
        <v>32</v>
      </c>
      <c r="AU39" s="9"/>
      <c r="AV39" s="22"/>
      <c r="AY39" s="100" t="s">
        <v>72</v>
      </c>
      <c r="AZ39" s="101">
        <v>39</v>
      </c>
      <c r="BC39" s="100" t="s">
        <v>72</v>
      </c>
      <c r="BD39" s="101">
        <v>65</v>
      </c>
      <c r="BF39" s="100" t="s">
        <v>72</v>
      </c>
      <c r="BG39" s="101">
        <v>27</v>
      </c>
      <c r="BJ39" s="100" t="s">
        <v>72</v>
      </c>
      <c r="BK39" s="101">
        <v>47</v>
      </c>
      <c r="BN39" s="9"/>
      <c r="BO39" s="22"/>
      <c r="BR39" s="9"/>
      <c r="BS39" s="22"/>
      <c r="BV39" s="9"/>
      <c r="BW39" s="22"/>
      <c r="BZ39" s="9"/>
      <c r="CA39" s="22"/>
      <c r="CD39" s="100" t="s">
        <v>72</v>
      </c>
      <c r="CE39" s="101">
        <v>13</v>
      </c>
      <c r="CH39" s="100" t="s">
        <v>72</v>
      </c>
      <c r="CI39" s="101">
        <v>15</v>
      </c>
      <c r="CL39" s="100" t="s">
        <v>72</v>
      </c>
      <c r="CM39" s="101">
        <v>30</v>
      </c>
      <c r="CP39" s="9"/>
      <c r="CQ39" s="22"/>
      <c r="CT39" s="100" t="s">
        <v>72</v>
      </c>
      <c r="CU39" s="101">
        <v>23</v>
      </c>
      <c r="DB39" s="100" t="s">
        <v>72</v>
      </c>
      <c r="DC39" s="101">
        <v>32</v>
      </c>
      <c r="DF39" s="100" t="s">
        <v>72</v>
      </c>
      <c r="DG39" s="101">
        <v>17</v>
      </c>
      <c r="DJ39" s="100" t="s">
        <v>72</v>
      </c>
      <c r="DK39" s="101">
        <v>45</v>
      </c>
      <c r="DN39" s="100" t="s">
        <v>72</v>
      </c>
      <c r="DO39" s="101">
        <v>26</v>
      </c>
      <c r="DR39" s="100" t="s">
        <v>72</v>
      </c>
      <c r="DS39" s="101">
        <v>51</v>
      </c>
      <c r="DV39" s="100" t="s">
        <v>72</v>
      </c>
      <c r="DW39" s="101">
        <v>37</v>
      </c>
      <c r="DZ39" s="100" t="s">
        <v>72</v>
      </c>
      <c r="EA39" s="101">
        <v>34</v>
      </c>
      <c r="ED39" s="100" t="s">
        <v>72</v>
      </c>
      <c r="EE39" s="101">
        <v>12</v>
      </c>
      <c r="EH39" s="100" t="s">
        <v>72</v>
      </c>
      <c r="EI39" s="101">
        <v>55</v>
      </c>
      <c r="EK39" s="100" t="s">
        <v>72</v>
      </c>
      <c r="EL39" s="101">
        <v>19</v>
      </c>
      <c r="EO39" s="100" t="s">
        <v>72</v>
      </c>
      <c r="EP39" s="101">
        <v>0</v>
      </c>
      <c r="ES39" s="100" t="s">
        <v>72</v>
      </c>
      <c r="ET39" s="101">
        <v>0.14000000000000001</v>
      </c>
      <c r="FA39" s="100" t="s">
        <v>274</v>
      </c>
      <c r="FB39" s="101">
        <v>44</v>
      </c>
    </row>
    <row r="40" spans="2:158" x14ac:dyDescent="0.25">
      <c r="G40" s="100" t="s">
        <v>73</v>
      </c>
      <c r="H40" s="101">
        <v>12</v>
      </c>
      <c r="J40" s="8"/>
      <c r="K40" s="9"/>
      <c r="L40" s="22"/>
      <c r="M40" s="8"/>
      <c r="N40" s="8"/>
      <c r="O40" s="102" t="s">
        <v>73</v>
      </c>
      <c r="P40" s="101">
        <v>6</v>
      </c>
      <c r="Q40" s="8"/>
      <c r="R40" s="8"/>
      <c r="S40" s="100" t="s">
        <v>73</v>
      </c>
      <c r="T40" s="101">
        <v>49</v>
      </c>
      <c r="W40" s="100" t="s">
        <v>73</v>
      </c>
      <c r="X40" s="101">
        <v>29</v>
      </c>
      <c r="AA40" s="100" t="s">
        <v>73</v>
      </c>
      <c r="AB40" s="101">
        <v>24</v>
      </c>
      <c r="AI40" s="9"/>
      <c r="AJ40" s="22"/>
      <c r="AM40" s="9"/>
      <c r="AN40" s="22"/>
      <c r="AQ40" s="100" t="s">
        <v>73</v>
      </c>
      <c r="AR40" s="101">
        <v>32</v>
      </c>
      <c r="AU40" s="9"/>
      <c r="AV40" s="22"/>
      <c r="AY40" s="100" t="s">
        <v>73</v>
      </c>
      <c r="AZ40" s="101">
        <v>40</v>
      </c>
      <c r="BC40" s="100" t="s">
        <v>73</v>
      </c>
      <c r="BD40" s="101">
        <v>64</v>
      </c>
      <c r="BF40" s="100" t="s">
        <v>73</v>
      </c>
      <c r="BG40" s="101">
        <v>28</v>
      </c>
      <c r="BJ40" s="100" t="s">
        <v>73</v>
      </c>
      <c r="BK40" s="101">
        <v>45</v>
      </c>
      <c r="BN40" s="9"/>
      <c r="BO40" s="22"/>
      <c r="BR40" s="9"/>
      <c r="BS40" s="22"/>
      <c r="BV40" s="9"/>
      <c r="BW40" s="22"/>
      <c r="BZ40" s="9"/>
      <c r="CA40" s="22"/>
      <c r="CD40" s="100" t="s">
        <v>73</v>
      </c>
      <c r="CE40" s="101">
        <v>11</v>
      </c>
      <c r="CH40" s="100" t="s">
        <v>73</v>
      </c>
      <c r="CI40" s="101">
        <v>10</v>
      </c>
      <c r="CL40" s="100" t="s">
        <v>73</v>
      </c>
      <c r="CM40" s="101">
        <v>28</v>
      </c>
      <c r="CP40" s="9"/>
      <c r="CQ40" s="22"/>
      <c r="CT40" s="100" t="s">
        <v>73</v>
      </c>
      <c r="CU40" s="101">
        <v>43</v>
      </c>
      <c r="DB40" s="100" t="s">
        <v>73</v>
      </c>
      <c r="DC40" s="101">
        <v>39</v>
      </c>
      <c r="DF40" s="100" t="s">
        <v>73</v>
      </c>
      <c r="DG40" s="101">
        <v>17</v>
      </c>
      <c r="DJ40" s="100" t="s">
        <v>73</v>
      </c>
      <c r="DK40" s="101">
        <v>44</v>
      </c>
      <c r="DN40" s="100" t="s">
        <v>73</v>
      </c>
      <c r="DO40" s="101">
        <v>21</v>
      </c>
      <c r="DR40" s="100" t="s">
        <v>73</v>
      </c>
      <c r="DS40" s="101">
        <v>29</v>
      </c>
      <c r="DV40" s="100" t="s">
        <v>73</v>
      </c>
      <c r="DW40" s="101">
        <v>37</v>
      </c>
      <c r="DZ40" s="100" t="s">
        <v>73</v>
      </c>
      <c r="EA40" s="101">
        <v>35</v>
      </c>
      <c r="ED40" s="100" t="s">
        <v>73</v>
      </c>
      <c r="EE40" s="101">
        <v>11</v>
      </c>
      <c r="EH40" s="100" t="s">
        <v>73</v>
      </c>
      <c r="EI40" s="101">
        <v>47</v>
      </c>
      <c r="EK40" s="100" t="s">
        <v>73</v>
      </c>
      <c r="EL40" s="101">
        <v>18</v>
      </c>
      <c r="EO40" s="100" t="s">
        <v>73</v>
      </c>
      <c r="EP40" s="101">
        <v>0</v>
      </c>
      <c r="ES40" s="100" t="s">
        <v>73</v>
      </c>
      <c r="ET40" s="101">
        <v>0.9</v>
      </c>
      <c r="FA40" s="100" t="s">
        <v>275</v>
      </c>
      <c r="FB40" s="101">
        <v>44</v>
      </c>
    </row>
    <row r="41" spans="2:158" x14ac:dyDescent="0.25">
      <c r="G41" s="100" t="s">
        <v>74</v>
      </c>
      <c r="H41" s="101">
        <v>12</v>
      </c>
      <c r="J41" s="8"/>
      <c r="K41" s="9"/>
      <c r="L41" s="22"/>
      <c r="M41" s="8"/>
      <c r="N41" s="8"/>
      <c r="O41" s="102" t="s">
        <v>74</v>
      </c>
      <c r="P41" s="101">
        <v>6</v>
      </c>
      <c r="Q41" s="8"/>
      <c r="R41" s="8"/>
      <c r="S41" s="100" t="s">
        <v>74</v>
      </c>
      <c r="T41" s="101">
        <v>52</v>
      </c>
      <c r="W41" s="100" t="s">
        <v>74</v>
      </c>
      <c r="X41" s="101">
        <v>32</v>
      </c>
      <c r="AA41" s="100" t="s">
        <v>74</v>
      </c>
      <c r="AB41" s="101">
        <v>28</v>
      </c>
      <c r="AI41" s="9"/>
      <c r="AJ41" s="22"/>
      <c r="AM41" s="9"/>
      <c r="AN41" s="22"/>
      <c r="AQ41" s="100" t="s">
        <v>74</v>
      </c>
      <c r="AR41" s="101">
        <v>38</v>
      </c>
      <c r="AU41" s="9"/>
      <c r="AV41" s="22"/>
      <c r="AY41" s="100" t="s">
        <v>74</v>
      </c>
      <c r="AZ41" s="101">
        <v>37</v>
      </c>
      <c r="BC41" s="100" t="s">
        <v>74</v>
      </c>
      <c r="BD41" s="101">
        <v>65</v>
      </c>
      <c r="BF41" s="100" t="s">
        <v>74</v>
      </c>
      <c r="BG41" s="101">
        <v>26</v>
      </c>
      <c r="BJ41" s="100" t="s">
        <v>74</v>
      </c>
      <c r="BK41" s="101">
        <v>47</v>
      </c>
      <c r="BN41" s="9"/>
      <c r="BO41" s="22"/>
      <c r="BR41" s="9"/>
      <c r="BS41" s="22"/>
      <c r="BV41" s="9"/>
      <c r="BW41" s="22"/>
      <c r="BZ41" s="9"/>
      <c r="CA41" s="22"/>
      <c r="CD41" s="100" t="s">
        <v>74</v>
      </c>
      <c r="CE41" s="101">
        <v>11</v>
      </c>
      <c r="CH41" s="100" t="s">
        <v>74</v>
      </c>
      <c r="CI41" s="101">
        <v>16</v>
      </c>
      <c r="CL41" s="100" t="s">
        <v>74</v>
      </c>
      <c r="CM41" s="101">
        <v>28</v>
      </c>
      <c r="CP41" s="9"/>
      <c r="CQ41" s="22"/>
      <c r="CT41" s="100" t="s">
        <v>74</v>
      </c>
      <c r="CU41" s="101">
        <v>49</v>
      </c>
      <c r="DB41" s="100" t="s">
        <v>74</v>
      </c>
      <c r="DC41" s="101">
        <v>33</v>
      </c>
      <c r="DF41" s="100" t="s">
        <v>74</v>
      </c>
      <c r="DG41" s="101">
        <v>16</v>
      </c>
      <c r="DJ41" s="100" t="s">
        <v>74</v>
      </c>
      <c r="DK41" s="101">
        <v>48</v>
      </c>
      <c r="DN41" s="100" t="s">
        <v>74</v>
      </c>
      <c r="DO41" s="101">
        <v>18</v>
      </c>
      <c r="DR41" s="100" t="s">
        <v>74</v>
      </c>
      <c r="DS41" s="101">
        <v>56</v>
      </c>
      <c r="DV41" s="100" t="s">
        <v>74</v>
      </c>
      <c r="DW41" s="101">
        <v>51</v>
      </c>
      <c r="DZ41" s="100" t="s">
        <v>74</v>
      </c>
      <c r="EA41" s="101">
        <v>21</v>
      </c>
      <c r="ED41" s="100" t="s">
        <v>74</v>
      </c>
      <c r="EE41" s="101">
        <v>11</v>
      </c>
      <c r="EH41" s="100" t="s">
        <v>74</v>
      </c>
      <c r="EI41" s="101">
        <v>53</v>
      </c>
      <c r="EK41" s="100" t="s">
        <v>74</v>
      </c>
      <c r="EL41" s="101">
        <v>21</v>
      </c>
      <c r="EO41" s="100" t="s">
        <v>74</v>
      </c>
      <c r="EP41" s="101">
        <v>0</v>
      </c>
      <c r="ES41" s="100" t="s">
        <v>74</v>
      </c>
      <c r="ET41" s="101">
        <v>0.12</v>
      </c>
      <c r="FA41" s="100" t="s">
        <v>276</v>
      </c>
      <c r="FB41" s="101">
        <v>47</v>
      </c>
    </row>
    <row r="42" spans="2:158" x14ac:dyDescent="0.25">
      <c r="G42" s="100" t="s">
        <v>75</v>
      </c>
      <c r="H42" s="101">
        <v>13</v>
      </c>
      <c r="J42" s="8"/>
      <c r="K42" s="9"/>
      <c r="L42" s="22"/>
      <c r="M42" s="8"/>
      <c r="N42" s="8"/>
      <c r="O42" s="102" t="s">
        <v>75</v>
      </c>
      <c r="P42" s="101">
        <v>7</v>
      </c>
      <c r="Q42" s="8"/>
      <c r="R42" s="8"/>
      <c r="S42" s="100" t="s">
        <v>75</v>
      </c>
      <c r="T42" s="101">
        <v>51</v>
      </c>
      <c r="W42" s="100" t="s">
        <v>75</v>
      </c>
      <c r="X42" s="101">
        <v>32</v>
      </c>
      <c r="AA42" s="100" t="s">
        <v>75</v>
      </c>
      <c r="AB42" s="101">
        <v>26</v>
      </c>
      <c r="AI42" s="9"/>
      <c r="AJ42" s="22"/>
      <c r="AM42" s="9"/>
      <c r="AN42" s="22"/>
      <c r="AQ42" s="100" t="s">
        <v>75</v>
      </c>
      <c r="AR42" s="101">
        <v>31</v>
      </c>
      <c r="AU42" s="9"/>
      <c r="AV42" s="22"/>
      <c r="AY42" s="100" t="s">
        <v>75</v>
      </c>
      <c r="AZ42" s="101">
        <v>39</v>
      </c>
      <c r="BC42" s="100" t="s">
        <v>75</v>
      </c>
      <c r="BD42" s="101">
        <v>69</v>
      </c>
      <c r="BF42" s="100" t="s">
        <v>75</v>
      </c>
      <c r="BG42" s="101">
        <v>27</v>
      </c>
      <c r="BJ42" s="100" t="s">
        <v>75</v>
      </c>
      <c r="BK42" s="101">
        <v>37</v>
      </c>
      <c r="BN42" s="9"/>
      <c r="BO42" s="22"/>
      <c r="BR42" s="9"/>
      <c r="BS42" s="22"/>
      <c r="BV42" s="9"/>
      <c r="BW42" s="22"/>
      <c r="BZ42" s="9"/>
      <c r="CA42" s="22"/>
      <c r="CD42" s="100" t="s">
        <v>75</v>
      </c>
      <c r="CE42" s="101">
        <v>11</v>
      </c>
      <c r="CH42" s="100" t="s">
        <v>75</v>
      </c>
      <c r="CI42" s="101">
        <v>11</v>
      </c>
      <c r="CL42" s="100" t="s">
        <v>75</v>
      </c>
      <c r="CM42" s="101">
        <v>35</v>
      </c>
      <c r="CP42" s="9"/>
      <c r="CQ42" s="22"/>
      <c r="CT42" s="100" t="s">
        <v>75</v>
      </c>
      <c r="CU42" s="101">
        <v>38</v>
      </c>
      <c r="DB42" s="100" t="s">
        <v>75</v>
      </c>
      <c r="DC42" s="101">
        <v>36</v>
      </c>
      <c r="DF42" s="100" t="s">
        <v>75</v>
      </c>
      <c r="DG42" s="101">
        <v>27</v>
      </c>
      <c r="DJ42" s="100" t="s">
        <v>75</v>
      </c>
      <c r="DK42" s="101">
        <v>47</v>
      </c>
      <c r="DN42" s="100" t="s">
        <v>75</v>
      </c>
      <c r="DO42" s="101">
        <v>19</v>
      </c>
      <c r="DR42" s="100" t="s">
        <v>75</v>
      </c>
      <c r="DS42" s="101">
        <v>36</v>
      </c>
      <c r="DV42" s="100" t="s">
        <v>75</v>
      </c>
      <c r="DW42" s="101">
        <v>58</v>
      </c>
      <c r="DZ42" s="100" t="s">
        <v>75</v>
      </c>
      <c r="EA42" s="101">
        <v>48</v>
      </c>
      <c r="ED42" s="100" t="s">
        <v>75</v>
      </c>
      <c r="EE42" s="101">
        <v>13</v>
      </c>
      <c r="EH42" s="100" t="s">
        <v>75</v>
      </c>
      <c r="EI42" s="101">
        <v>57</v>
      </c>
      <c r="EK42" s="100" t="s">
        <v>75</v>
      </c>
      <c r="EL42" s="101">
        <v>20</v>
      </c>
      <c r="EO42" s="100" t="s">
        <v>75</v>
      </c>
      <c r="EP42" s="101">
        <v>5</v>
      </c>
      <c r="ES42" s="100" t="s">
        <v>75</v>
      </c>
      <c r="ET42" s="101">
        <v>0.14000000000000001</v>
      </c>
      <c r="FA42" s="100" t="s">
        <v>277</v>
      </c>
      <c r="FB42" s="101">
        <v>44</v>
      </c>
    </row>
    <row r="43" spans="2:158" x14ac:dyDescent="0.25">
      <c r="G43" s="100" t="s">
        <v>76</v>
      </c>
      <c r="H43" s="101">
        <v>15</v>
      </c>
      <c r="J43" s="8"/>
      <c r="K43" s="9"/>
      <c r="L43" s="22"/>
      <c r="M43" s="8"/>
      <c r="N43" s="8"/>
      <c r="O43" s="102" t="s">
        <v>76</v>
      </c>
      <c r="P43" s="101">
        <v>3</v>
      </c>
      <c r="Q43" s="8"/>
      <c r="R43" s="8"/>
      <c r="S43" s="100" t="s">
        <v>76</v>
      </c>
      <c r="T43" s="101">
        <v>61</v>
      </c>
      <c r="W43" s="100" t="s">
        <v>76</v>
      </c>
      <c r="X43" s="101">
        <v>33</v>
      </c>
      <c r="AA43" s="100" t="s">
        <v>76</v>
      </c>
      <c r="AB43" s="101">
        <v>27</v>
      </c>
      <c r="AI43" s="9"/>
      <c r="AJ43" s="22"/>
      <c r="AM43" s="9"/>
      <c r="AN43" s="22"/>
      <c r="AQ43" s="100" t="s">
        <v>76</v>
      </c>
      <c r="AR43" s="101">
        <v>31</v>
      </c>
      <c r="AU43" s="9"/>
      <c r="AV43" s="22"/>
      <c r="AY43" s="100" t="s">
        <v>76</v>
      </c>
      <c r="AZ43" s="101">
        <v>37</v>
      </c>
      <c r="BC43" s="100" t="s">
        <v>76</v>
      </c>
      <c r="BD43" s="101">
        <v>69</v>
      </c>
      <c r="BF43" s="100" t="s">
        <v>76</v>
      </c>
      <c r="BG43" s="101">
        <v>31</v>
      </c>
      <c r="BJ43" s="100" t="s">
        <v>76</v>
      </c>
      <c r="BK43" s="101">
        <v>62</v>
      </c>
      <c r="BN43" s="9"/>
      <c r="BO43" s="22"/>
      <c r="BR43" s="9"/>
      <c r="BS43" s="22"/>
      <c r="BV43" s="9"/>
      <c r="BW43" s="22"/>
      <c r="BZ43" s="9"/>
      <c r="CA43" s="22"/>
      <c r="CD43" s="100" t="s">
        <v>76</v>
      </c>
      <c r="CE43" s="101">
        <v>11</v>
      </c>
      <c r="CH43" s="100" t="s">
        <v>76</v>
      </c>
      <c r="CI43" s="101">
        <v>22</v>
      </c>
      <c r="CL43" s="100" t="s">
        <v>76</v>
      </c>
      <c r="CM43" s="101">
        <v>39</v>
      </c>
      <c r="CP43" s="9"/>
      <c r="CQ43" s="22"/>
      <c r="CT43" s="100" t="s">
        <v>76</v>
      </c>
      <c r="CU43" s="101">
        <v>41</v>
      </c>
      <c r="DB43" s="100" t="s">
        <v>76</v>
      </c>
      <c r="DC43" s="101">
        <v>47</v>
      </c>
      <c r="DF43" s="100" t="s">
        <v>76</v>
      </c>
      <c r="DG43" s="101">
        <v>24</v>
      </c>
      <c r="DJ43" s="100" t="s">
        <v>76</v>
      </c>
      <c r="DK43" s="101">
        <v>55</v>
      </c>
      <c r="DN43" s="100" t="s">
        <v>76</v>
      </c>
      <c r="DO43" s="101">
        <v>20</v>
      </c>
      <c r="DR43" s="100" t="s">
        <v>76</v>
      </c>
      <c r="DS43" s="101">
        <v>59</v>
      </c>
      <c r="DV43" s="100" t="s">
        <v>76</v>
      </c>
      <c r="DW43" s="101">
        <v>34</v>
      </c>
      <c r="DZ43" s="100" t="s">
        <v>76</v>
      </c>
      <c r="EA43" s="101">
        <v>39</v>
      </c>
      <c r="ED43" s="100" t="s">
        <v>76</v>
      </c>
      <c r="EE43" s="101">
        <v>14</v>
      </c>
      <c r="EH43" s="100" t="s">
        <v>76</v>
      </c>
      <c r="EI43" s="101">
        <v>59</v>
      </c>
      <c r="EK43" s="100" t="s">
        <v>76</v>
      </c>
      <c r="EL43" s="101">
        <v>17</v>
      </c>
      <c r="EO43" s="100" t="s">
        <v>76</v>
      </c>
      <c r="EP43" s="101">
        <v>4</v>
      </c>
      <c r="ES43" s="100" t="s">
        <v>76</v>
      </c>
      <c r="ET43" s="101">
        <v>0.12</v>
      </c>
      <c r="FA43" s="100" t="s">
        <v>278</v>
      </c>
      <c r="FB43" s="101">
        <v>47</v>
      </c>
    </row>
    <row r="44" spans="2:158" x14ac:dyDescent="0.25">
      <c r="G44" s="100" t="s">
        <v>77</v>
      </c>
      <c r="H44" s="101">
        <v>18</v>
      </c>
      <c r="J44" s="8"/>
      <c r="K44" s="9"/>
      <c r="L44" s="22"/>
      <c r="M44" s="8"/>
      <c r="N44" s="8"/>
      <c r="O44" s="102" t="s">
        <v>77</v>
      </c>
      <c r="P44" s="101">
        <v>5</v>
      </c>
      <c r="Q44" s="8"/>
      <c r="R44" s="8"/>
      <c r="S44" s="100" t="s">
        <v>77</v>
      </c>
      <c r="T44" s="101">
        <v>62</v>
      </c>
      <c r="W44" s="100" t="s">
        <v>77</v>
      </c>
      <c r="X44" s="101">
        <v>34</v>
      </c>
      <c r="AA44" s="100" t="s">
        <v>77</v>
      </c>
      <c r="AB44" s="101">
        <v>30</v>
      </c>
      <c r="AI44" s="9"/>
      <c r="AJ44" s="22"/>
      <c r="AM44" s="9"/>
      <c r="AN44" s="22"/>
      <c r="AQ44" s="100" t="s">
        <v>77</v>
      </c>
      <c r="AR44" s="101">
        <v>26</v>
      </c>
      <c r="AU44" s="9"/>
      <c r="AV44" s="22"/>
      <c r="AY44" s="100" t="s">
        <v>77</v>
      </c>
      <c r="AZ44" s="101">
        <v>45</v>
      </c>
      <c r="BC44" s="100" t="s">
        <v>77</v>
      </c>
      <c r="BD44" s="101">
        <v>68</v>
      </c>
      <c r="BF44" s="100" t="s">
        <v>77</v>
      </c>
      <c r="BG44" s="101">
        <v>38</v>
      </c>
      <c r="BJ44" s="100" t="s">
        <v>77</v>
      </c>
      <c r="BK44" s="101">
        <v>40</v>
      </c>
      <c r="BN44" s="9"/>
      <c r="BO44" s="22"/>
      <c r="BR44" s="9"/>
      <c r="BS44" s="22"/>
      <c r="BV44" s="9"/>
      <c r="BW44" s="22"/>
      <c r="BZ44" s="9"/>
      <c r="CA44" s="22"/>
      <c r="CD44" s="100" t="s">
        <v>77</v>
      </c>
      <c r="CE44" s="101">
        <v>18</v>
      </c>
      <c r="CH44" s="100" t="s">
        <v>77</v>
      </c>
      <c r="CI44" s="101">
        <v>27</v>
      </c>
      <c r="CL44" s="100" t="s">
        <v>77</v>
      </c>
      <c r="CM44" s="101">
        <v>47</v>
      </c>
      <c r="CP44" s="9"/>
      <c r="CQ44" s="22"/>
      <c r="CT44" s="100" t="s">
        <v>77</v>
      </c>
      <c r="CU44" s="101">
        <v>46</v>
      </c>
      <c r="CX44" s="9"/>
      <c r="CY44" s="22"/>
      <c r="DB44" s="100" t="s">
        <v>77</v>
      </c>
      <c r="DC44" s="101">
        <v>43</v>
      </c>
      <c r="DF44" s="100" t="s">
        <v>77</v>
      </c>
      <c r="DG44" s="101">
        <v>21</v>
      </c>
      <c r="DJ44" s="100" t="s">
        <v>77</v>
      </c>
      <c r="DK44" s="101">
        <v>59</v>
      </c>
      <c r="DN44" s="100" t="s">
        <v>77</v>
      </c>
      <c r="DO44" s="101">
        <v>20</v>
      </c>
      <c r="DR44" s="100" t="s">
        <v>77</v>
      </c>
      <c r="DS44" s="101">
        <v>59</v>
      </c>
      <c r="DV44" s="100" t="s">
        <v>77</v>
      </c>
      <c r="DW44" s="101">
        <v>39</v>
      </c>
      <c r="DZ44" s="100" t="s">
        <v>77</v>
      </c>
      <c r="EA44" s="101">
        <v>38</v>
      </c>
      <c r="ED44" s="100" t="s">
        <v>77</v>
      </c>
      <c r="EE44" s="101">
        <v>13</v>
      </c>
      <c r="EH44" s="100" t="s">
        <v>77</v>
      </c>
      <c r="EI44" s="101">
        <v>72</v>
      </c>
      <c r="EK44" s="100" t="s">
        <v>77</v>
      </c>
      <c r="EL44" s="101">
        <v>21</v>
      </c>
      <c r="EO44" s="100" t="s">
        <v>77</v>
      </c>
      <c r="EP44" s="101">
        <v>4</v>
      </c>
      <c r="ES44" s="100" t="s">
        <v>77</v>
      </c>
      <c r="ET44" s="101">
        <v>0.1</v>
      </c>
      <c r="FA44" s="100" t="s">
        <v>279</v>
      </c>
      <c r="FB44" s="101">
        <v>48</v>
      </c>
    </row>
    <row r="45" spans="2:158" x14ac:dyDescent="0.25">
      <c r="G45" s="100" t="s">
        <v>78</v>
      </c>
      <c r="H45" s="101">
        <v>21</v>
      </c>
      <c r="J45" s="8"/>
      <c r="K45" s="9"/>
      <c r="L45" s="22"/>
      <c r="M45" s="8"/>
      <c r="N45" s="8"/>
      <c r="O45" s="102" t="s">
        <v>78</v>
      </c>
      <c r="P45" s="101">
        <v>6</v>
      </c>
      <c r="Q45" s="8"/>
      <c r="R45" s="8"/>
      <c r="S45" s="100" t="s">
        <v>78</v>
      </c>
      <c r="T45" s="101">
        <v>59</v>
      </c>
      <c r="W45" s="100" t="s">
        <v>78</v>
      </c>
      <c r="X45" s="101">
        <v>35</v>
      </c>
      <c r="AA45" s="100" t="s">
        <v>78</v>
      </c>
      <c r="AB45" s="101">
        <v>24</v>
      </c>
      <c r="AI45" s="9"/>
      <c r="AJ45" s="22"/>
      <c r="AM45" s="9"/>
      <c r="AN45" s="22"/>
      <c r="AQ45" s="100" t="s">
        <v>78</v>
      </c>
      <c r="AR45" s="101">
        <v>34</v>
      </c>
      <c r="AU45" s="9"/>
      <c r="AV45" s="22"/>
      <c r="AY45" s="100" t="s">
        <v>78</v>
      </c>
      <c r="AZ45" s="101">
        <v>38</v>
      </c>
      <c r="BC45" s="100" t="s">
        <v>78</v>
      </c>
      <c r="BD45" s="101">
        <v>67</v>
      </c>
      <c r="BF45" s="100" t="s">
        <v>78</v>
      </c>
      <c r="BG45" s="101">
        <v>32</v>
      </c>
      <c r="BJ45" s="100" t="s">
        <v>78</v>
      </c>
      <c r="BK45" s="101">
        <v>61</v>
      </c>
      <c r="BN45" s="9"/>
      <c r="BO45" s="22"/>
      <c r="BR45" s="9"/>
      <c r="BS45" s="22"/>
      <c r="BV45" s="9"/>
      <c r="BW45" s="22"/>
      <c r="BZ45" s="9"/>
      <c r="CA45" s="22"/>
      <c r="CD45" s="100" t="s">
        <v>78</v>
      </c>
      <c r="CE45" s="101">
        <v>15</v>
      </c>
      <c r="CH45" s="100" t="s">
        <v>78</v>
      </c>
      <c r="CI45" s="101">
        <v>28</v>
      </c>
      <c r="CL45" s="100" t="s">
        <v>78</v>
      </c>
      <c r="CM45" s="101">
        <v>49</v>
      </c>
      <c r="CP45" s="9"/>
      <c r="CQ45" s="22"/>
      <c r="CT45" s="100" t="s">
        <v>78</v>
      </c>
      <c r="CU45" s="101">
        <v>36</v>
      </c>
      <c r="CX45" s="9"/>
      <c r="CY45" s="22"/>
      <c r="DB45" s="100" t="s">
        <v>78</v>
      </c>
      <c r="DC45" s="101">
        <v>47</v>
      </c>
      <c r="DF45" s="100" t="s">
        <v>78</v>
      </c>
      <c r="DG45" s="101">
        <v>24</v>
      </c>
      <c r="DJ45" s="100" t="s">
        <v>78</v>
      </c>
      <c r="DK45" s="101">
        <v>55</v>
      </c>
      <c r="DN45" s="100" t="s">
        <v>78</v>
      </c>
      <c r="DO45" s="101">
        <v>24</v>
      </c>
      <c r="DR45" s="100" t="s">
        <v>78</v>
      </c>
      <c r="DS45" s="101">
        <v>67</v>
      </c>
      <c r="DV45" s="100" t="s">
        <v>78</v>
      </c>
      <c r="DW45" s="101">
        <v>50</v>
      </c>
      <c r="DZ45" s="100" t="s">
        <v>78</v>
      </c>
      <c r="EA45" s="101">
        <v>28</v>
      </c>
      <c r="ED45" s="100" t="s">
        <v>78</v>
      </c>
      <c r="EE45" s="101">
        <v>12</v>
      </c>
      <c r="EH45" s="100" t="s">
        <v>78</v>
      </c>
      <c r="EI45" s="101">
        <v>77</v>
      </c>
      <c r="EK45" s="100" t="s">
        <v>78</v>
      </c>
      <c r="EL45" s="101">
        <v>22</v>
      </c>
      <c r="EO45" s="100" t="s">
        <v>78</v>
      </c>
      <c r="EP45" s="101">
        <v>4</v>
      </c>
      <c r="ES45" s="100" t="s">
        <v>78</v>
      </c>
      <c r="ET45" s="101">
        <v>0.12</v>
      </c>
      <c r="FA45" s="100" t="s">
        <v>280</v>
      </c>
      <c r="FB45" s="101">
        <v>51</v>
      </c>
    </row>
    <row r="46" spans="2:158" x14ac:dyDescent="0.25">
      <c r="G46" s="100" t="s">
        <v>79</v>
      </c>
      <c r="H46" s="101">
        <v>18</v>
      </c>
      <c r="J46" s="8"/>
      <c r="K46" s="9"/>
      <c r="L46" s="22"/>
      <c r="M46" s="8"/>
      <c r="N46" s="8"/>
      <c r="O46" s="102" t="s">
        <v>79</v>
      </c>
      <c r="P46" s="101">
        <v>6</v>
      </c>
      <c r="Q46" s="8"/>
      <c r="R46" s="8"/>
      <c r="S46" s="100" t="s">
        <v>79</v>
      </c>
      <c r="T46" s="101">
        <v>60</v>
      </c>
      <c r="W46" s="100" t="s">
        <v>79</v>
      </c>
      <c r="X46" s="101">
        <v>31</v>
      </c>
      <c r="AA46" s="100" t="s">
        <v>79</v>
      </c>
      <c r="AB46" s="101">
        <v>30</v>
      </c>
      <c r="AI46" s="9"/>
      <c r="AJ46" s="22"/>
      <c r="AM46" s="9"/>
      <c r="AN46" s="22"/>
      <c r="AQ46" s="100" t="s">
        <v>79</v>
      </c>
      <c r="AR46" s="101">
        <v>59</v>
      </c>
      <c r="AU46" s="9"/>
      <c r="AV46" s="22"/>
      <c r="AY46" s="100" t="s">
        <v>79</v>
      </c>
      <c r="AZ46" s="101">
        <v>39</v>
      </c>
      <c r="BC46" s="100" t="s">
        <v>79</v>
      </c>
      <c r="BD46" s="101">
        <v>67</v>
      </c>
      <c r="BF46" s="100" t="s">
        <v>79</v>
      </c>
      <c r="BG46" s="101">
        <v>34</v>
      </c>
      <c r="BJ46" s="100" t="s">
        <v>79</v>
      </c>
      <c r="BK46" s="101">
        <v>45</v>
      </c>
      <c r="BN46" s="9"/>
      <c r="BO46" s="22"/>
      <c r="BR46" s="9"/>
      <c r="BS46" s="22"/>
      <c r="BV46" s="9"/>
      <c r="BW46" s="22"/>
      <c r="BZ46" s="9"/>
      <c r="CA46" s="22"/>
      <c r="CD46" s="100" t="s">
        <v>79</v>
      </c>
      <c r="CE46" s="101">
        <v>14</v>
      </c>
      <c r="CH46" s="100" t="s">
        <v>79</v>
      </c>
      <c r="CI46" s="101">
        <v>24</v>
      </c>
      <c r="CL46" s="100" t="s">
        <v>79</v>
      </c>
      <c r="CM46" s="101">
        <v>46</v>
      </c>
      <c r="CP46" s="9"/>
      <c r="CQ46" s="22"/>
      <c r="CT46" s="100" t="s">
        <v>79</v>
      </c>
      <c r="CU46" s="101">
        <v>20</v>
      </c>
      <c r="CX46" s="9"/>
      <c r="CY46" s="22"/>
      <c r="DB46" s="100" t="s">
        <v>79</v>
      </c>
      <c r="DC46" s="101">
        <v>61</v>
      </c>
      <c r="DF46" s="100" t="s">
        <v>79</v>
      </c>
      <c r="DG46" s="101">
        <v>21</v>
      </c>
      <c r="DJ46" s="100" t="s">
        <v>79</v>
      </c>
      <c r="DK46" s="101">
        <v>57</v>
      </c>
      <c r="DN46" s="100" t="s">
        <v>79</v>
      </c>
      <c r="DO46" s="101">
        <v>22</v>
      </c>
      <c r="DR46" s="100" t="s">
        <v>79</v>
      </c>
      <c r="DS46" s="101">
        <v>79</v>
      </c>
      <c r="DV46" s="100" t="s">
        <v>79</v>
      </c>
      <c r="DW46" s="101">
        <v>56</v>
      </c>
      <c r="DZ46" s="100" t="s">
        <v>79</v>
      </c>
      <c r="EA46" s="101">
        <v>36</v>
      </c>
      <c r="ED46" s="100" t="s">
        <v>79</v>
      </c>
      <c r="EE46" s="101">
        <v>12</v>
      </c>
      <c r="EH46" s="100" t="s">
        <v>79</v>
      </c>
      <c r="EI46" s="101">
        <v>69</v>
      </c>
      <c r="EK46" s="100" t="s">
        <v>79</v>
      </c>
      <c r="EL46" s="101">
        <v>23</v>
      </c>
      <c r="EO46" s="100" t="s">
        <v>79</v>
      </c>
      <c r="EP46" s="101">
        <v>4</v>
      </c>
      <c r="ES46" s="100" t="s">
        <v>79</v>
      </c>
      <c r="ET46" s="101">
        <v>0.11</v>
      </c>
      <c r="FA46" s="100" t="s">
        <v>281</v>
      </c>
      <c r="FB46" s="101">
        <v>52</v>
      </c>
    </row>
    <row r="47" spans="2:158" x14ac:dyDescent="0.25">
      <c r="G47" s="100" t="s">
        <v>80</v>
      </c>
      <c r="H47" s="101">
        <v>20</v>
      </c>
      <c r="J47" s="8"/>
      <c r="K47" s="9"/>
      <c r="L47" s="22"/>
      <c r="M47" s="8"/>
      <c r="N47" s="8"/>
      <c r="O47" s="102" t="s">
        <v>80</v>
      </c>
      <c r="P47" s="101">
        <v>7</v>
      </c>
      <c r="Q47" s="8"/>
      <c r="R47" s="8"/>
      <c r="S47" s="100" t="s">
        <v>80</v>
      </c>
      <c r="T47" s="101">
        <v>60</v>
      </c>
      <c r="W47" s="100" t="s">
        <v>80</v>
      </c>
      <c r="X47" s="101">
        <v>32</v>
      </c>
      <c r="AA47" s="100" t="s">
        <v>80</v>
      </c>
      <c r="AB47" s="101">
        <v>29</v>
      </c>
      <c r="AI47" s="9"/>
      <c r="AJ47" s="22"/>
      <c r="AM47" s="9"/>
      <c r="AN47" s="22"/>
      <c r="AQ47" s="100" t="s">
        <v>80</v>
      </c>
      <c r="AR47" s="101">
        <v>46</v>
      </c>
      <c r="AU47" s="9"/>
      <c r="AV47" s="22"/>
      <c r="AY47" s="100" t="s">
        <v>80</v>
      </c>
      <c r="AZ47" s="101">
        <v>41</v>
      </c>
      <c r="BC47" s="100" t="s">
        <v>80</v>
      </c>
      <c r="BD47" s="101">
        <v>66</v>
      </c>
      <c r="BF47" s="100" t="s">
        <v>80</v>
      </c>
      <c r="BG47" s="101">
        <v>34</v>
      </c>
      <c r="BJ47" s="100" t="s">
        <v>80</v>
      </c>
      <c r="BK47" s="101">
        <v>56</v>
      </c>
      <c r="BN47" s="9"/>
      <c r="BO47" s="22"/>
      <c r="BR47" s="9"/>
      <c r="BS47" s="22"/>
      <c r="BV47" s="9"/>
      <c r="BW47" s="22"/>
      <c r="BZ47" s="9"/>
      <c r="CA47" s="22"/>
      <c r="CD47" s="100" t="s">
        <v>80</v>
      </c>
      <c r="CE47" s="101">
        <v>14</v>
      </c>
      <c r="CH47" s="100" t="s">
        <v>80</v>
      </c>
      <c r="CI47" s="101">
        <v>29</v>
      </c>
      <c r="CL47" s="100" t="s">
        <v>80</v>
      </c>
      <c r="CM47" s="101">
        <v>50</v>
      </c>
      <c r="CP47" s="9"/>
      <c r="CQ47" s="22"/>
      <c r="CT47" s="100" t="s">
        <v>80</v>
      </c>
      <c r="CU47" s="101">
        <v>96</v>
      </c>
      <c r="CX47" s="9"/>
      <c r="CY47" s="22"/>
      <c r="DB47" s="100" t="s">
        <v>80</v>
      </c>
      <c r="DC47" s="101">
        <v>38</v>
      </c>
      <c r="DF47" s="100" t="s">
        <v>80</v>
      </c>
      <c r="DG47" s="101">
        <v>20</v>
      </c>
      <c r="DJ47" s="100" t="s">
        <v>80</v>
      </c>
      <c r="DK47" s="101">
        <v>58</v>
      </c>
      <c r="DN47" s="100" t="s">
        <v>80</v>
      </c>
      <c r="DO47" s="101">
        <v>25</v>
      </c>
      <c r="DR47" s="100" t="s">
        <v>80</v>
      </c>
      <c r="DS47" s="101">
        <v>72</v>
      </c>
      <c r="DV47" s="100" t="s">
        <v>80</v>
      </c>
      <c r="DW47" s="101">
        <v>90</v>
      </c>
      <c r="DZ47" s="100" t="s">
        <v>80</v>
      </c>
      <c r="EA47" s="101">
        <v>39</v>
      </c>
      <c r="ED47" s="100" t="s">
        <v>80</v>
      </c>
      <c r="EE47" s="101">
        <v>13</v>
      </c>
      <c r="EH47" s="100" t="s">
        <v>80</v>
      </c>
      <c r="EI47" s="101">
        <v>62</v>
      </c>
      <c r="EK47" s="100" t="s">
        <v>80</v>
      </c>
      <c r="EL47" s="101">
        <v>21</v>
      </c>
      <c r="EO47" s="100" t="s">
        <v>80</v>
      </c>
      <c r="EP47" s="101">
        <v>6</v>
      </c>
      <c r="ES47" s="100" t="s">
        <v>80</v>
      </c>
      <c r="ET47" s="101">
        <v>0.9</v>
      </c>
      <c r="FA47" s="100" t="s">
        <v>282</v>
      </c>
      <c r="FB47" s="101">
        <v>50</v>
      </c>
    </row>
    <row r="48" spans="2:158" x14ac:dyDescent="0.25">
      <c r="G48" s="100" t="s">
        <v>81</v>
      </c>
      <c r="H48" s="101">
        <v>20</v>
      </c>
      <c r="J48" s="8"/>
      <c r="K48" s="9"/>
      <c r="L48" s="22"/>
      <c r="M48" s="8"/>
      <c r="N48" s="8"/>
      <c r="O48" s="102" t="s">
        <v>81</v>
      </c>
      <c r="P48" s="101">
        <v>5</v>
      </c>
      <c r="Q48" s="8"/>
      <c r="R48" s="8"/>
      <c r="S48" s="100" t="s">
        <v>81</v>
      </c>
      <c r="T48" s="101">
        <v>59</v>
      </c>
      <c r="W48" s="100" t="s">
        <v>81</v>
      </c>
      <c r="X48" s="101">
        <v>31</v>
      </c>
      <c r="AA48" s="100" t="s">
        <v>81</v>
      </c>
      <c r="AB48" s="101">
        <v>36</v>
      </c>
      <c r="AI48" s="9"/>
      <c r="AJ48" s="22"/>
      <c r="AM48" s="9"/>
      <c r="AN48" s="22"/>
      <c r="AQ48" s="100" t="s">
        <v>81</v>
      </c>
      <c r="AR48" s="101">
        <v>48</v>
      </c>
      <c r="AU48" s="9"/>
      <c r="AV48" s="22"/>
      <c r="AY48" s="100" t="s">
        <v>81</v>
      </c>
      <c r="AZ48" s="101">
        <v>44</v>
      </c>
      <c r="BC48" s="100" t="s">
        <v>81</v>
      </c>
      <c r="BD48" s="101">
        <v>66</v>
      </c>
      <c r="BF48" s="100" t="s">
        <v>81</v>
      </c>
      <c r="BG48" s="101">
        <v>38</v>
      </c>
      <c r="BJ48" s="100" t="s">
        <v>81</v>
      </c>
      <c r="BK48" s="101">
        <v>49</v>
      </c>
      <c r="BN48" s="9"/>
      <c r="BO48" s="22"/>
      <c r="BR48" s="9"/>
      <c r="BS48" s="22"/>
      <c r="BV48" s="9"/>
      <c r="BW48" s="22"/>
      <c r="BZ48" s="9"/>
      <c r="CA48" s="22"/>
      <c r="CD48" s="100" t="s">
        <v>81</v>
      </c>
      <c r="CE48" s="101">
        <v>15</v>
      </c>
      <c r="CH48" s="100" t="s">
        <v>81</v>
      </c>
      <c r="CI48" s="101">
        <v>29</v>
      </c>
      <c r="CL48" s="100" t="s">
        <v>81</v>
      </c>
      <c r="CM48" s="101">
        <v>47</v>
      </c>
      <c r="CP48" s="9"/>
      <c r="CQ48" s="22"/>
      <c r="CT48" s="100" t="s">
        <v>81</v>
      </c>
      <c r="CU48" s="101">
        <v>45</v>
      </c>
      <c r="CX48" s="9"/>
      <c r="CY48" s="22"/>
      <c r="DB48" s="100" t="s">
        <v>81</v>
      </c>
      <c r="DC48" s="101">
        <v>53</v>
      </c>
      <c r="DF48" s="100" t="s">
        <v>81</v>
      </c>
      <c r="DG48" s="101">
        <v>38</v>
      </c>
      <c r="DJ48" s="100" t="s">
        <v>81</v>
      </c>
      <c r="DK48" s="101">
        <v>59</v>
      </c>
      <c r="DN48" s="100" t="s">
        <v>81</v>
      </c>
      <c r="DO48" s="101">
        <v>24</v>
      </c>
      <c r="DR48" s="100" t="s">
        <v>81</v>
      </c>
      <c r="DS48" s="101">
        <v>59</v>
      </c>
      <c r="DV48" s="100" t="s">
        <v>81</v>
      </c>
      <c r="DW48" s="101">
        <v>57</v>
      </c>
      <c r="DZ48" s="100" t="s">
        <v>81</v>
      </c>
      <c r="EA48" s="101">
        <v>39</v>
      </c>
      <c r="ED48" s="100" t="s">
        <v>81</v>
      </c>
      <c r="EE48" s="101">
        <v>12</v>
      </c>
      <c r="EH48" s="100" t="s">
        <v>81</v>
      </c>
      <c r="EI48" s="101">
        <v>64</v>
      </c>
      <c r="EK48" s="100" t="s">
        <v>81</v>
      </c>
      <c r="EL48" s="101">
        <v>22</v>
      </c>
      <c r="EO48" s="100" t="s">
        <v>81</v>
      </c>
      <c r="EP48" s="101">
        <v>4</v>
      </c>
      <c r="ES48" s="100" t="s">
        <v>81</v>
      </c>
      <c r="ET48" s="101">
        <v>0.18</v>
      </c>
      <c r="FA48" s="100" t="s">
        <v>283</v>
      </c>
      <c r="FB48" s="101">
        <v>54</v>
      </c>
    </row>
    <row r="49" spans="7:158" x14ac:dyDescent="0.25">
      <c r="G49" s="100" t="s">
        <v>82</v>
      </c>
      <c r="H49" s="101">
        <v>22</v>
      </c>
      <c r="J49" s="8"/>
      <c r="K49" s="9"/>
      <c r="L49" s="22"/>
      <c r="M49" s="8"/>
      <c r="N49" s="8"/>
      <c r="O49" s="102" t="s">
        <v>82</v>
      </c>
      <c r="P49" s="101">
        <v>8</v>
      </c>
      <c r="Q49" s="8"/>
      <c r="R49" s="8"/>
      <c r="S49" s="100" t="s">
        <v>82</v>
      </c>
      <c r="T49" s="101">
        <v>57</v>
      </c>
      <c r="W49" s="100" t="s">
        <v>82</v>
      </c>
      <c r="X49" s="101">
        <v>28</v>
      </c>
      <c r="AA49" s="100" t="s">
        <v>82</v>
      </c>
      <c r="AB49" s="101">
        <v>45</v>
      </c>
      <c r="AI49" s="9"/>
      <c r="AJ49" s="22"/>
      <c r="AM49" s="9"/>
      <c r="AN49" s="22"/>
      <c r="AQ49" s="100" t="s">
        <v>82</v>
      </c>
      <c r="AR49" s="101">
        <v>50</v>
      </c>
      <c r="AU49" s="9"/>
      <c r="AV49" s="22"/>
      <c r="AY49" s="100" t="s">
        <v>82</v>
      </c>
      <c r="AZ49" s="101">
        <v>46</v>
      </c>
      <c r="BC49" s="100" t="s">
        <v>82</v>
      </c>
      <c r="BD49" s="101">
        <v>65</v>
      </c>
      <c r="BF49" s="100" t="s">
        <v>82</v>
      </c>
      <c r="BG49" s="101">
        <v>41</v>
      </c>
      <c r="BJ49" s="100" t="s">
        <v>82</v>
      </c>
      <c r="BK49" s="101">
        <v>60</v>
      </c>
      <c r="BN49" s="9"/>
      <c r="BO49" s="22"/>
      <c r="BR49" s="9"/>
      <c r="BS49" s="22"/>
      <c r="BV49" s="9"/>
      <c r="BW49" s="22"/>
      <c r="BZ49" s="9"/>
      <c r="CA49" s="22"/>
      <c r="CD49" s="100" t="s">
        <v>82</v>
      </c>
      <c r="CE49" s="101">
        <v>17</v>
      </c>
      <c r="CH49" s="100" t="s">
        <v>82</v>
      </c>
      <c r="CI49" s="101">
        <v>27</v>
      </c>
      <c r="CL49" s="100" t="s">
        <v>82</v>
      </c>
      <c r="CM49" s="101">
        <v>52</v>
      </c>
      <c r="CP49" s="9"/>
      <c r="CQ49" s="22"/>
      <c r="CT49" s="100" t="s">
        <v>82</v>
      </c>
      <c r="CU49" s="101">
        <v>57</v>
      </c>
      <c r="CX49" s="9"/>
      <c r="CY49" s="22"/>
      <c r="DB49" s="100" t="s">
        <v>82</v>
      </c>
      <c r="DC49" s="101">
        <v>50</v>
      </c>
      <c r="DF49" s="100" t="s">
        <v>82</v>
      </c>
      <c r="DG49" s="101">
        <v>29</v>
      </c>
      <c r="DJ49" s="100" t="s">
        <v>82</v>
      </c>
      <c r="DK49" s="101">
        <v>61</v>
      </c>
      <c r="DN49" s="100" t="s">
        <v>82</v>
      </c>
      <c r="DO49" s="101">
        <v>29</v>
      </c>
      <c r="DR49" s="100" t="s">
        <v>82</v>
      </c>
      <c r="DS49" s="101">
        <v>69</v>
      </c>
      <c r="DV49" s="100" t="s">
        <v>82</v>
      </c>
      <c r="DW49" s="101">
        <v>49</v>
      </c>
      <c r="DZ49" s="100" t="s">
        <v>82</v>
      </c>
      <c r="EA49" s="101">
        <v>37</v>
      </c>
      <c r="ED49" s="100" t="s">
        <v>82</v>
      </c>
      <c r="EE49" s="101">
        <v>14</v>
      </c>
      <c r="EH49" s="100" t="s">
        <v>82</v>
      </c>
      <c r="EI49" s="101">
        <v>65</v>
      </c>
      <c r="EK49" s="100" t="s">
        <v>82</v>
      </c>
      <c r="EL49" s="101">
        <v>24</v>
      </c>
      <c r="EO49" s="100" t="s">
        <v>82</v>
      </c>
      <c r="EP49" s="101">
        <v>6</v>
      </c>
      <c r="ES49" s="100" t="s">
        <v>82</v>
      </c>
      <c r="ET49" s="101">
        <v>0.11</v>
      </c>
      <c r="FA49" s="100" t="s">
        <v>284</v>
      </c>
      <c r="FB49" s="101">
        <v>52</v>
      </c>
    </row>
    <row r="50" spans="7:158" x14ac:dyDescent="0.25">
      <c r="G50" s="100" t="s">
        <v>83</v>
      </c>
      <c r="H50" s="101">
        <v>22</v>
      </c>
      <c r="J50" s="8"/>
      <c r="K50" s="9"/>
      <c r="L50" s="22"/>
      <c r="M50" s="8"/>
      <c r="N50" s="8"/>
      <c r="O50" s="102" t="s">
        <v>83</v>
      </c>
      <c r="P50" s="101">
        <v>6</v>
      </c>
      <c r="Q50" s="8"/>
      <c r="R50" s="8"/>
      <c r="S50" s="100" t="s">
        <v>83</v>
      </c>
      <c r="T50" s="101">
        <v>55</v>
      </c>
      <c r="W50" s="100" t="s">
        <v>83</v>
      </c>
      <c r="X50" s="101">
        <v>26</v>
      </c>
      <c r="AA50" s="100" t="s">
        <v>83</v>
      </c>
      <c r="AB50" s="101">
        <v>38</v>
      </c>
      <c r="AI50" s="9"/>
      <c r="AJ50" s="22"/>
      <c r="AM50" s="9"/>
      <c r="AN50" s="22"/>
      <c r="AQ50" s="100" t="s">
        <v>83</v>
      </c>
      <c r="AR50" s="101">
        <v>55</v>
      </c>
      <c r="AU50" s="9"/>
      <c r="AV50" s="22"/>
      <c r="AY50" s="100" t="s">
        <v>83</v>
      </c>
      <c r="AZ50" s="101">
        <v>41</v>
      </c>
      <c r="BC50" s="100" t="s">
        <v>83</v>
      </c>
      <c r="BD50" s="101">
        <v>51</v>
      </c>
      <c r="BF50" s="100" t="s">
        <v>83</v>
      </c>
      <c r="BG50" s="101">
        <v>31</v>
      </c>
      <c r="BJ50" s="100" t="s">
        <v>83</v>
      </c>
      <c r="BK50" s="101">
        <v>50</v>
      </c>
      <c r="BN50" s="9"/>
      <c r="BO50" s="22"/>
      <c r="BR50" s="9"/>
      <c r="BS50" s="22"/>
      <c r="BV50" s="9"/>
      <c r="BW50" s="22"/>
      <c r="BZ50" s="9"/>
      <c r="CA50" s="22"/>
      <c r="CD50" s="100" t="s">
        <v>83</v>
      </c>
      <c r="CE50" s="101">
        <v>14</v>
      </c>
      <c r="CH50" s="100" t="s">
        <v>83</v>
      </c>
      <c r="CI50" s="101">
        <v>28</v>
      </c>
      <c r="CL50" s="100" t="s">
        <v>83</v>
      </c>
      <c r="CM50" s="101">
        <v>46</v>
      </c>
      <c r="CP50" s="9"/>
      <c r="CQ50" s="22"/>
      <c r="CT50" s="100" t="s">
        <v>83</v>
      </c>
      <c r="CU50" s="101">
        <v>67</v>
      </c>
      <c r="CX50" s="9"/>
      <c r="CY50" s="22"/>
      <c r="DB50" s="100" t="s">
        <v>83</v>
      </c>
      <c r="DC50" s="101">
        <v>30</v>
      </c>
      <c r="DF50" s="100" t="s">
        <v>83</v>
      </c>
      <c r="DG50" s="101">
        <v>31</v>
      </c>
      <c r="DJ50" s="100" t="s">
        <v>83</v>
      </c>
      <c r="DK50" s="101">
        <v>57</v>
      </c>
      <c r="DN50" s="100" t="s">
        <v>83</v>
      </c>
      <c r="DO50" s="101">
        <v>25</v>
      </c>
      <c r="DR50" s="100" t="s">
        <v>83</v>
      </c>
      <c r="DS50" s="101">
        <v>54</v>
      </c>
      <c r="DV50" s="100" t="s">
        <v>83</v>
      </c>
      <c r="DW50" s="101">
        <v>41</v>
      </c>
      <c r="DZ50" s="100" t="s">
        <v>83</v>
      </c>
      <c r="EA50" s="101">
        <v>39</v>
      </c>
      <c r="ED50" s="100" t="s">
        <v>83</v>
      </c>
      <c r="EE50" s="101">
        <v>12</v>
      </c>
      <c r="EH50" s="100" t="s">
        <v>83</v>
      </c>
      <c r="EI50" s="101">
        <v>73</v>
      </c>
      <c r="EK50" s="100" t="s">
        <v>83</v>
      </c>
      <c r="EL50" s="101">
        <v>25</v>
      </c>
      <c r="EO50" s="100" t="s">
        <v>83</v>
      </c>
      <c r="EP50" s="101">
        <v>5</v>
      </c>
      <c r="ES50" s="100" t="s">
        <v>83</v>
      </c>
      <c r="ET50" s="101">
        <v>0.1</v>
      </c>
      <c r="FA50" s="100" t="s">
        <v>285</v>
      </c>
      <c r="FB50" s="101">
        <v>55</v>
      </c>
    </row>
    <row r="51" spans="7:158" x14ac:dyDescent="0.25">
      <c r="G51" s="100" t="s">
        <v>84</v>
      </c>
      <c r="H51" s="101">
        <v>22</v>
      </c>
      <c r="J51" s="8"/>
      <c r="K51" s="9"/>
      <c r="L51" s="22"/>
      <c r="M51" s="8"/>
      <c r="N51" s="8"/>
      <c r="O51" s="102" t="s">
        <v>84</v>
      </c>
      <c r="P51" s="101">
        <v>7</v>
      </c>
      <c r="Q51" s="8"/>
      <c r="R51" s="8"/>
      <c r="S51" s="100" t="s">
        <v>84</v>
      </c>
      <c r="T51" s="101">
        <v>55</v>
      </c>
      <c r="W51" s="100" t="s">
        <v>84</v>
      </c>
      <c r="X51" s="101">
        <v>28</v>
      </c>
      <c r="AA51" s="100" t="s">
        <v>84</v>
      </c>
      <c r="AB51" s="101">
        <v>38</v>
      </c>
      <c r="AI51" s="9"/>
      <c r="AJ51" s="22"/>
      <c r="AM51" s="9"/>
      <c r="AN51" s="22"/>
      <c r="AQ51" s="100" t="s">
        <v>84</v>
      </c>
      <c r="AR51" s="101">
        <v>28</v>
      </c>
      <c r="AU51" s="9"/>
      <c r="AV51" s="22"/>
      <c r="AY51" s="100" t="s">
        <v>84</v>
      </c>
      <c r="AZ51" s="101">
        <v>49</v>
      </c>
      <c r="BC51" s="100" t="s">
        <v>84</v>
      </c>
      <c r="BD51" s="101">
        <v>58</v>
      </c>
      <c r="BF51" s="100" t="s">
        <v>84</v>
      </c>
      <c r="BG51" s="101">
        <v>30</v>
      </c>
      <c r="BJ51" s="100" t="s">
        <v>84</v>
      </c>
      <c r="BK51" s="101">
        <v>58</v>
      </c>
      <c r="BN51" s="9"/>
      <c r="BO51" s="22"/>
      <c r="BR51" s="9"/>
      <c r="BS51" s="22"/>
      <c r="BV51" s="9"/>
      <c r="BW51" s="22"/>
      <c r="BZ51" s="9"/>
      <c r="CA51" s="22"/>
      <c r="CD51" s="100" t="s">
        <v>84</v>
      </c>
      <c r="CE51" s="101">
        <v>13</v>
      </c>
      <c r="CH51" s="100" t="s">
        <v>84</v>
      </c>
      <c r="CI51" s="101">
        <v>24</v>
      </c>
      <c r="CL51" s="100" t="s">
        <v>84</v>
      </c>
      <c r="CM51" s="101">
        <v>43</v>
      </c>
      <c r="CP51" s="9"/>
      <c r="CQ51" s="22"/>
      <c r="CT51" s="100" t="s">
        <v>84</v>
      </c>
      <c r="CU51" s="101">
        <v>55</v>
      </c>
      <c r="CX51" s="9"/>
      <c r="CY51" s="22"/>
      <c r="DB51" s="100" t="s">
        <v>84</v>
      </c>
      <c r="DC51" s="101">
        <v>37</v>
      </c>
      <c r="DF51" s="100" t="s">
        <v>84</v>
      </c>
      <c r="DG51" s="101">
        <v>25</v>
      </c>
      <c r="DJ51" s="100" t="s">
        <v>84</v>
      </c>
      <c r="DK51" s="101">
        <v>58</v>
      </c>
      <c r="DN51" s="100" t="s">
        <v>84</v>
      </c>
      <c r="DO51" s="101">
        <v>24</v>
      </c>
      <c r="DR51" s="100" t="s">
        <v>84</v>
      </c>
      <c r="DS51" s="101">
        <v>60</v>
      </c>
      <c r="DV51" s="100" t="s">
        <v>84</v>
      </c>
      <c r="DW51" s="101">
        <v>49</v>
      </c>
      <c r="DZ51" s="100" t="s">
        <v>84</v>
      </c>
      <c r="EA51" s="101">
        <v>47</v>
      </c>
      <c r="ED51" s="100" t="s">
        <v>84</v>
      </c>
      <c r="EE51" s="101">
        <v>22</v>
      </c>
      <c r="EH51" s="100" t="s">
        <v>84</v>
      </c>
      <c r="EI51" s="101">
        <v>62</v>
      </c>
      <c r="EK51" s="100" t="s">
        <v>84</v>
      </c>
      <c r="EL51" s="101">
        <v>18</v>
      </c>
      <c r="EO51" s="100" t="s">
        <v>84</v>
      </c>
      <c r="EP51" s="101">
        <v>5</v>
      </c>
      <c r="ES51" s="100" t="s">
        <v>84</v>
      </c>
      <c r="ET51" s="101">
        <v>0.1</v>
      </c>
      <c r="FA51" s="100" t="s">
        <v>286</v>
      </c>
      <c r="FB51" s="101">
        <v>49</v>
      </c>
    </row>
    <row r="52" spans="7:158" x14ac:dyDescent="0.25">
      <c r="G52" s="100" t="s">
        <v>85</v>
      </c>
      <c r="H52" s="101">
        <v>24</v>
      </c>
      <c r="J52" s="8"/>
      <c r="K52" s="9"/>
      <c r="L52" s="22"/>
      <c r="M52" s="8"/>
      <c r="N52" s="8"/>
      <c r="O52" s="102" t="s">
        <v>85</v>
      </c>
      <c r="P52" s="101">
        <v>7</v>
      </c>
      <c r="Q52" s="8"/>
      <c r="R52" s="8"/>
      <c r="S52" s="100" t="s">
        <v>85</v>
      </c>
      <c r="T52" s="101">
        <v>57</v>
      </c>
      <c r="W52" s="100" t="s">
        <v>85</v>
      </c>
      <c r="X52" s="101">
        <v>29</v>
      </c>
      <c r="AA52" s="100" t="s">
        <v>85</v>
      </c>
      <c r="AB52" s="101">
        <v>31</v>
      </c>
      <c r="AI52" s="9"/>
      <c r="AJ52" s="22"/>
      <c r="AM52" s="9"/>
      <c r="AN52" s="22"/>
      <c r="AQ52" s="100" t="s">
        <v>85</v>
      </c>
      <c r="AR52" s="101">
        <v>48</v>
      </c>
      <c r="AU52" s="9"/>
      <c r="AV52" s="22"/>
      <c r="AY52" s="100" t="s">
        <v>85</v>
      </c>
      <c r="AZ52" s="101">
        <v>43</v>
      </c>
      <c r="BC52" s="100" t="s">
        <v>85</v>
      </c>
      <c r="BD52" s="101">
        <v>55</v>
      </c>
      <c r="BF52" s="100" t="s">
        <v>85</v>
      </c>
      <c r="BG52" s="101">
        <v>39</v>
      </c>
      <c r="BJ52" s="100" t="s">
        <v>85</v>
      </c>
      <c r="BK52" s="101">
        <v>56</v>
      </c>
      <c r="BN52" s="9"/>
      <c r="BO52" s="22"/>
      <c r="BR52" s="9"/>
      <c r="BS52" s="22"/>
      <c r="BV52" s="9"/>
      <c r="BW52" s="22"/>
      <c r="BZ52" s="9"/>
      <c r="CA52" s="22"/>
      <c r="CD52" s="100" t="s">
        <v>85</v>
      </c>
      <c r="CE52" s="101">
        <v>14</v>
      </c>
      <c r="CH52" s="100" t="s">
        <v>85</v>
      </c>
      <c r="CI52" s="101">
        <v>28</v>
      </c>
      <c r="CL52" s="100" t="s">
        <v>85</v>
      </c>
      <c r="CM52" s="101">
        <v>45</v>
      </c>
      <c r="CP52" s="9"/>
      <c r="CQ52" s="22"/>
      <c r="CT52" s="100" t="s">
        <v>85</v>
      </c>
      <c r="CU52" s="101">
        <v>34</v>
      </c>
      <c r="CX52" s="9"/>
      <c r="CY52" s="22"/>
      <c r="DB52" s="100" t="s">
        <v>85</v>
      </c>
      <c r="DC52" s="101">
        <v>42</v>
      </c>
      <c r="DF52" s="100" t="s">
        <v>85</v>
      </c>
      <c r="DG52" s="101">
        <v>20</v>
      </c>
      <c r="DJ52" s="100" t="s">
        <v>85</v>
      </c>
      <c r="DK52" s="101">
        <v>60</v>
      </c>
      <c r="DN52" s="100" t="s">
        <v>85</v>
      </c>
      <c r="DO52" s="101">
        <v>23</v>
      </c>
      <c r="DR52" s="100" t="s">
        <v>85</v>
      </c>
      <c r="DS52" s="101">
        <v>50</v>
      </c>
      <c r="DV52" s="100" t="s">
        <v>85</v>
      </c>
      <c r="DW52" s="101">
        <v>50</v>
      </c>
      <c r="DZ52" s="100" t="s">
        <v>85</v>
      </c>
      <c r="EA52" s="101">
        <v>29</v>
      </c>
      <c r="ED52" s="100" t="s">
        <v>85</v>
      </c>
      <c r="EE52" s="101">
        <v>13</v>
      </c>
      <c r="EH52" s="100" t="s">
        <v>85</v>
      </c>
      <c r="EI52" s="101">
        <v>68</v>
      </c>
      <c r="EK52" s="100" t="s">
        <v>85</v>
      </c>
      <c r="EL52" s="101">
        <v>28</v>
      </c>
      <c r="EO52" s="100" t="s">
        <v>85</v>
      </c>
      <c r="EP52" s="101">
        <v>5</v>
      </c>
      <c r="ES52" s="100" t="s">
        <v>85</v>
      </c>
      <c r="ET52" s="101">
        <v>0.9</v>
      </c>
      <c r="FA52" s="100" t="s">
        <v>287</v>
      </c>
      <c r="FB52" s="101">
        <v>54</v>
      </c>
    </row>
    <row r="53" spans="7:158" x14ac:dyDescent="0.25">
      <c r="G53" s="100" t="s">
        <v>86</v>
      </c>
      <c r="H53" s="101">
        <v>24</v>
      </c>
      <c r="J53" s="8"/>
      <c r="K53" s="9"/>
      <c r="L53" s="22"/>
      <c r="M53" s="8"/>
      <c r="N53" s="8"/>
      <c r="O53" s="102" t="s">
        <v>86</v>
      </c>
      <c r="P53" s="101">
        <v>7</v>
      </c>
      <c r="Q53" s="8"/>
      <c r="R53" s="8"/>
      <c r="S53" s="100" t="s">
        <v>86</v>
      </c>
      <c r="T53" s="101">
        <v>52</v>
      </c>
      <c r="W53" s="100" t="s">
        <v>86</v>
      </c>
      <c r="X53" s="101">
        <v>27</v>
      </c>
      <c r="AA53" s="100" t="s">
        <v>86</v>
      </c>
      <c r="AB53" s="101">
        <v>34</v>
      </c>
      <c r="AI53" s="9"/>
      <c r="AJ53" s="22"/>
      <c r="AM53" s="9"/>
      <c r="AN53" s="22"/>
      <c r="AQ53" s="100" t="s">
        <v>86</v>
      </c>
      <c r="AR53" s="101">
        <v>24</v>
      </c>
      <c r="AU53" s="9"/>
      <c r="AV53" s="22"/>
      <c r="AY53" s="100" t="s">
        <v>86</v>
      </c>
      <c r="AZ53" s="101">
        <v>39</v>
      </c>
      <c r="BC53" s="100" t="s">
        <v>86</v>
      </c>
      <c r="BD53" s="101">
        <v>44</v>
      </c>
      <c r="BF53" s="100" t="s">
        <v>86</v>
      </c>
      <c r="BG53" s="101">
        <v>33</v>
      </c>
      <c r="BJ53" s="100" t="s">
        <v>86</v>
      </c>
      <c r="BK53" s="101">
        <v>58</v>
      </c>
      <c r="BN53" s="9"/>
      <c r="BO53" s="22"/>
      <c r="BR53" s="9"/>
      <c r="BS53" s="22"/>
      <c r="BV53" s="9"/>
      <c r="BW53" s="22"/>
      <c r="BZ53" s="9"/>
      <c r="CA53" s="22"/>
      <c r="CD53" s="100" t="s">
        <v>86</v>
      </c>
      <c r="CE53" s="101">
        <v>14</v>
      </c>
      <c r="CH53" s="100" t="s">
        <v>86</v>
      </c>
      <c r="CI53" s="101">
        <v>26</v>
      </c>
      <c r="CL53" s="100" t="s">
        <v>86</v>
      </c>
      <c r="CM53" s="101">
        <v>53</v>
      </c>
      <c r="CP53" s="9"/>
      <c r="CQ53" s="22"/>
      <c r="CT53" s="100" t="s">
        <v>86</v>
      </c>
      <c r="CU53" s="101">
        <v>48</v>
      </c>
      <c r="CX53" s="9"/>
      <c r="CY53" s="22"/>
      <c r="DB53" s="100" t="s">
        <v>86</v>
      </c>
      <c r="DC53" s="101">
        <v>39</v>
      </c>
      <c r="DF53" s="100" t="s">
        <v>86</v>
      </c>
      <c r="DG53" s="101">
        <v>23</v>
      </c>
      <c r="DJ53" s="100" t="s">
        <v>86</v>
      </c>
      <c r="DK53" s="101">
        <v>63</v>
      </c>
      <c r="DN53" s="100" t="s">
        <v>86</v>
      </c>
      <c r="DO53" s="101">
        <v>24</v>
      </c>
      <c r="DR53" s="100" t="s">
        <v>86</v>
      </c>
      <c r="DS53" s="101">
        <v>57</v>
      </c>
      <c r="DV53" s="100" t="s">
        <v>86</v>
      </c>
      <c r="DW53" s="101">
        <v>61</v>
      </c>
      <c r="DZ53" s="100" t="s">
        <v>86</v>
      </c>
      <c r="EA53" s="101">
        <v>41</v>
      </c>
      <c r="ED53" s="100" t="s">
        <v>86</v>
      </c>
      <c r="EE53" s="101">
        <v>12</v>
      </c>
      <c r="EH53" s="100" t="s">
        <v>86</v>
      </c>
      <c r="EI53" s="101">
        <v>83</v>
      </c>
      <c r="EK53" s="100" t="s">
        <v>86</v>
      </c>
      <c r="EL53" s="101">
        <v>50</v>
      </c>
      <c r="EO53" s="100" t="s">
        <v>86</v>
      </c>
      <c r="EP53" s="101">
        <v>5</v>
      </c>
      <c r="ES53" s="100" t="s">
        <v>86</v>
      </c>
      <c r="ET53" s="101">
        <v>0.9</v>
      </c>
      <c r="FA53" s="100" t="s">
        <v>288</v>
      </c>
      <c r="FB53" s="101">
        <v>62</v>
      </c>
    </row>
    <row r="54" spans="7:158" x14ac:dyDescent="0.25">
      <c r="G54" s="100" t="s">
        <v>87</v>
      </c>
      <c r="H54" s="101">
        <v>18</v>
      </c>
      <c r="J54" s="8"/>
      <c r="K54" s="9"/>
      <c r="L54" s="22"/>
      <c r="M54" s="8"/>
      <c r="N54" s="8"/>
      <c r="O54" s="102" t="s">
        <v>87</v>
      </c>
      <c r="P54" s="101">
        <v>7</v>
      </c>
      <c r="Q54" s="8"/>
      <c r="R54" s="8"/>
      <c r="S54" s="100" t="s">
        <v>87</v>
      </c>
      <c r="T54" s="101">
        <v>55</v>
      </c>
      <c r="W54" s="100" t="s">
        <v>87</v>
      </c>
      <c r="X54" s="101">
        <v>26</v>
      </c>
      <c r="AA54" s="100" t="s">
        <v>87</v>
      </c>
      <c r="AB54" s="101">
        <v>30</v>
      </c>
      <c r="AI54" s="9"/>
      <c r="AJ54" s="22"/>
      <c r="AM54" s="9"/>
      <c r="AN54" s="22"/>
      <c r="AQ54" s="100" t="s">
        <v>87</v>
      </c>
      <c r="AR54" s="101">
        <v>24</v>
      </c>
      <c r="AU54" s="9"/>
      <c r="AV54" s="22"/>
      <c r="AY54" s="100" t="s">
        <v>87</v>
      </c>
      <c r="AZ54" s="101">
        <v>40</v>
      </c>
      <c r="BC54" s="100" t="s">
        <v>87</v>
      </c>
      <c r="BD54" s="101">
        <v>60</v>
      </c>
      <c r="BF54" s="100" t="s">
        <v>87</v>
      </c>
      <c r="BG54" s="101">
        <v>34</v>
      </c>
      <c r="BJ54" s="100" t="s">
        <v>87</v>
      </c>
      <c r="BK54" s="101">
        <v>59</v>
      </c>
      <c r="BN54" s="9"/>
      <c r="BO54" s="22"/>
      <c r="BR54" s="9"/>
      <c r="BS54" s="22"/>
      <c r="BV54" s="9"/>
      <c r="BW54" s="22"/>
      <c r="BZ54" s="9"/>
      <c r="CA54" s="22"/>
      <c r="CD54" s="100" t="s">
        <v>87</v>
      </c>
      <c r="CE54" s="101">
        <v>15</v>
      </c>
      <c r="CH54" s="100" t="s">
        <v>87</v>
      </c>
      <c r="CI54" s="101">
        <v>20</v>
      </c>
      <c r="CL54" s="100" t="s">
        <v>87</v>
      </c>
      <c r="CM54" s="101">
        <v>40</v>
      </c>
      <c r="CP54" s="9"/>
      <c r="CQ54" s="22"/>
      <c r="CT54" s="100" t="s">
        <v>87</v>
      </c>
      <c r="CU54" s="101">
        <v>36</v>
      </c>
      <c r="CX54" s="9"/>
      <c r="CY54" s="22"/>
      <c r="DB54" s="100" t="s">
        <v>87</v>
      </c>
      <c r="DC54" s="101">
        <v>45</v>
      </c>
      <c r="DF54" s="100" t="s">
        <v>87</v>
      </c>
      <c r="DG54" s="101">
        <v>39</v>
      </c>
      <c r="DJ54" s="100" t="s">
        <v>87</v>
      </c>
      <c r="DK54" s="101">
        <v>56</v>
      </c>
      <c r="DN54" s="100" t="s">
        <v>87</v>
      </c>
      <c r="DO54" s="101">
        <v>23</v>
      </c>
      <c r="DR54" s="100" t="s">
        <v>87</v>
      </c>
      <c r="DS54" s="101">
        <v>59</v>
      </c>
      <c r="DV54" s="100" t="s">
        <v>87</v>
      </c>
      <c r="DW54" s="101">
        <v>78</v>
      </c>
      <c r="DZ54" s="100" t="s">
        <v>87</v>
      </c>
      <c r="EA54" s="101">
        <v>33</v>
      </c>
      <c r="ED54" s="100" t="s">
        <v>87</v>
      </c>
      <c r="EE54" s="101">
        <v>15</v>
      </c>
      <c r="EH54" s="100" t="s">
        <v>87</v>
      </c>
      <c r="EI54" s="101">
        <v>77</v>
      </c>
      <c r="EK54" s="100" t="s">
        <v>87</v>
      </c>
      <c r="EL54" s="101">
        <v>28</v>
      </c>
      <c r="EO54" s="100" t="s">
        <v>87</v>
      </c>
      <c r="EP54" s="101">
        <v>4</v>
      </c>
      <c r="ES54" s="100" t="s">
        <v>87</v>
      </c>
      <c r="ET54" s="101">
        <v>0.7</v>
      </c>
      <c r="FA54" s="100" t="s">
        <v>289</v>
      </c>
      <c r="FB54" s="101">
        <v>51</v>
      </c>
    </row>
    <row r="55" spans="7:158" x14ac:dyDescent="0.25">
      <c r="G55" s="100" t="s">
        <v>88</v>
      </c>
      <c r="H55" s="101">
        <v>26</v>
      </c>
      <c r="J55" s="8"/>
      <c r="K55" s="9"/>
      <c r="L55" s="22"/>
      <c r="M55" s="8"/>
      <c r="N55" s="8"/>
      <c r="O55" s="102" t="s">
        <v>88</v>
      </c>
      <c r="P55" s="101">
        <v>8</v>
      </c>
      <c r="Q55" s="8"/>
      <c r="R55" s="8"/>
      <c r="S55" s="100" t="s">
        <v>88</v>
      </c>
      <c r="T55" s="101">
        <v>57</v>
      </c>
      <c r="W55" s="100" t="s">
        <v>88</v>
      </c>
      <c r="X55" s="101">
        <v>24</v>
      </c>
      <c r="AA55" s="100" t="s">
        <v>88</v>
      </c>
      <c r="AB55" s="101">
        <v>30</v>
      </c>
      <c r="AI55" s="9"/>
      <c r="AJ55" s="22"/>
      <c r="AM55" s="9"/>
      <c r="AN55" s="22"/>
      <c r="AQ55" s="100" t="s">
        <v>88</v>
      </c>
      <c r="AR55" s="101">
        <v>37</v>
      </c>
      <c r="AU55" s="9"/>
      <c r="AV55" s="22"/>
      <c r="AY55" s="100" t="s">
        <v>88</v>
      </c>
      <c r="AZ55" s="101">
        <v>41</v>
      </c>
      <c r="BC55" s="100" t="s">
        <v>88</v>
      </c>
      <c r="BD55" s="101">
        <v>59</v>
      </c>
      <c r="BF55" s="100" t="s">
        <v>88</v>
      </c>
      <c r="BG55" s="101">
        <v>35</v>
      </c>
      <c r="BJ55" s="100" t="s">
        <v>88</v>
      </c>
      <c r="BK55" s="101">
        <v>58</v>
      </c>
      <c r="BN55" s="9"/>
      <c r="BO55" s="22"/>
      <c r="BR55" s="9"/>
      <c r="BS55" s="22"/>
      <c r="BV55" s="9"/>
      <c r="BW55" s="22"/>
      <c r="BZ55" s="9"/>
      <c r="CA55" s="22"/>
      <c r="CD55" s="100" t="s">
        <v>88</v>
      </c>
      <c r="CE55" s="101">
        <v>16</v>
      </c>
      <c r="CH55" s="100" t="s">
        <v>88</v>
      </c>
      <c r="CI55" s="101">
        <v>29</v>
      </c>
      <c r="CL55" s="100" t="s">
        <v>88</v>
      </c>
      <c r="CM55" s="101">
        <v>50</v>
      </c>
      <c r="CP55" s="9"/>
      <c r="CQ55" s="22"/>
      <c r="CT55" s="100" t="s">
        <v>88</v>
      </c>
      <c r="CU55" s="101">
        <v>52</v>
      </c>
      <c r="CX55" s="9"/>
      <c r="CY55" s="22"/>
      <c r="DB55" s="100" t="s">
        <v>88</v>
      </c>
      <c r="DC55" s="101">
        <v>45</v>
      </c>
      <c r="DF55" s="100" t="s">
        <v>88</v>
      </c>
      <c r="DG55" s="101">
        <v>35</v>
      </c>
      <c r="DJ55" s="100" t="s">
        <v>88</v>
      </c>
      <c r="DK55" s="101">
        <v>62</v>
      </c>
      <c r="DN55" s="100" t="s">
        <v>88</v>
      </c>
      <c r="DO55" s="101">
        <v>27</v>
      </c>
      <c r="DR55" s="100" t="s">
        <v>88</v>
      </c>
      <c r="DS55" s="101">
        <v>49</v>
      </c>
      <c r="DV55" s="100" t="s">
        <v>88</v>
      </c>
      <c r="DW55" s="101">
        <v>64</v>
      </c>
      <c r="DZ55" s="100" t="s">
        <v>88</v>
      </c>
      <c r="EA55" s="101">
        <v>36</v>
      </c>
      <c r="ED55" s="100" t="s">
        <v>88</v>
      </c>
      <c r="EE55" s="101">
        <v>13</v>
      </c>
      <c r="EH55" s="100" t="s">
        <v>88</v>
      </c>
      <c r="EI55" s="101">
        <v>92</v>
      </c>
      <c r="EK55" s="100" t="s">
        <v>88</v>
      </c>
      <c r="EL55" s="101">
        <v>31</v>
      </c>
      <c r="EO55" s="100" t="s">
        <v>88</v>
      </c>
      <c r="EP55" s="101">
        <v>4</v>
      </c>
      <c r="ES55" s="100" t="s">
        <v>88</v>
      </c>
      <c r="ET55" s="101">
        <v>0.11</v>
      </c>
      <c r="FA55" s="100" t="s">
        <v>290</v>
      </c>
      <c r="FB55" s="101">
        <v>58</v>
      </c>
    </row>
    <row r="56" spans="7:158" x14ac:dyDescent="0.25">
      <c r="G56" s="100" t="s">
        <v>89</v>
      </c>
      <c r="H56" s="101">
        <v>27</v>
      </c>
      <c r="J56" s="8"/>
      <c r="K56" s="9"/>
      <c r="L56" s="22"/>
      <c r="M56" s="8"/>
      <c r="N56" s="8"/>
      <c r="O56" s="102" t="s">
        <v>89</v>
      </c>
      <c r="P56" s="101">
        <v>7</v>
      </c>
      <c r="Q56" s="8"/>
      <c r="R56" s="8"/>
      <c r="S56" s="100" t="s">
        <v>89</v>
      </c>
      <c r="T56" s="101">
        <v>60</v>
      </c>
      <c r="W56" s="100" t="s">
        <v>89</v>
      </c>
      <c r="X56" s="101">
        <v>24</v>
      </c>
      <c r="AA56" s="100" t="s">
        <v>89</v>
      </c>
      <c r="AB56" s="101">
        <v>26</v>
      </c>
      <c r="AI56" s="9"/>
      <c r="AJ56" s="22"/>
      <c r="AM56" s="9"/>
      <c r="AN56" s="22"/>
      <c r="AQ56" s="100" t="s">
        <v>89</v>
      </c>
      <c r="AR56" s="101">
        <v>37</v>
      </c>
      <c r="AU56" s="9"/>
      <c r="AV56" s="22"/>
      <c r="AY56" s="100" t="s">
        <v>89</v>
      </c>
      <c r="AZ56" s="101">
        <v>50</v>
      </c>
      <c r="BC56" s="100" t="s">
        <v>89</v>
      </c>
      <c r="BD56" s="101">
        <v>63</v>
      </c>
      <c r="BF56" s="100" t="s">
        <v>89</v>
      </c>
      <c r="BG56" s="101">
        <v>37</v>
      </c>
      <c r="BJ56" s="100" t="s">
        <v>89</v>
      </c>
      <c r="BK56" s="101">
        <v>68</v>
      </c>
      <c r="BN56" s="9"/>
      <c r="BO56" s="22"/>
      <c r="BR56" s="9"/>
      <c r="BS56" s="22"/>
      <c r="BV56" s="9"/>
      <c r="BW56" s="22"/>
      <c r="BZ56" s="9"/>
      <c r="CA56" s="22"/>
      <c r="CD56" s="100" t="s">
        <v>89</v>
      </c>
      <c r="CE56" s="101">
        <v>15</v>
      </c>
      <c r="CH56" s="100" t="s">
        <v>89</v>
      </c>
      <c r="CI56" s="101">
        <v>31</v>
      </c>
      <c r="CL56" s="100" t="s">
        <v>89</v>
      </c>
      <c r="CM56" s="101">
        <v>52</v>
      </c>
      <c r="CP56" s="9"/>
      <c r="CQ56" s="22"/>
      <c r="CT56" s="100" t="s">
        <v>89</v>
      </c>
      <c r="CU56" s="101">
        <v>68</v>
      </c>
      <c r="CX56" s="9"/>
      <c r="CY56" s="22"/>
      <c r="DB56" s="100" t="s">
        <v>89</v>
      </c>
      <c r="DC56" s="101">
        <v>34</v>
      </c>
      <c r="DF56" s="100" t="s">
        <v>89</v>
      </c>
      <c r="DG56" s="101">
        <v>38</v>
      </c>
      <c r="DJ56" s="100" t="s">
        <v>89</v>
      </c>
      <c r="DK56" s="101">
        <v>59</v>
      </c>
      <c r="DN56" s="100" t="s">
        <v>89</v>
      </c>
      <c r="DO56" s="101">
        <v>26</v>
      </c>
      <c r="DR56" s="100" t="s">
        <v>89</v>
      </c>
      <c r="DS56" s="101">
        <v>54</v>
      </c>
      <c r="DV56" s="100" t="s">
        <v>89</v>
      </c>
      <c r="DW56" s="101">
        <v>53</v>
      </c>
      <c r="DZ56" s="100" t="s">
        <v>89</v>
      </c>
      <c r="EA56" s="101">
        <v>43</v>
      </c>
      <c r="ED56" s="100" t="s">
        <v>89</v>
      </c>
      <c r="EE56" s="101">
        <v>12</v>
      </c>
      <c r="EH56" s="100" t="s">
        <v>89</v>
      </c>
      <c r="EI56" s="101">
        <v>83</v>
      </c>
      <c r="EK56" s="100" t="s">
        <v>89</v>
      </c>
      <c r="EL56" s="101">
        <v>30</v>
      </c>
      <c r="EO56" s="100" t="s">
        <v>89</v>
      </c>
      <c r="EP56" s="101">
        <v>5</v>
      </c>
      <c r="ES56" s="100" t="s">
        <v>89</v>
      </c>
      <c r="ET56" s="101">
        <v>0.11</v>
      </c>
      <c r="FA56" s="100" t="s">
        <v>291</v>
      </c>
      <c r="FB56" s="101">
        <v>59</v>
      </c>
    </row>
    <row r="57" spans="7:158" x14ac:dyDescent="0.25">
      <c r="G57" s="100" t="s">
        <v>90</v>
      </c>
      <c r="H57" s="101">
        <v>24</v>
      </c>
      <c r="J57" s="8"/>
      <c r="K57" s="9"/>
      <c r="L57" s="22"/>
      <c r="M57" s="8"/>
      <c r="N57" s="8"/>
      <c r="O57" s="102" t="s">
        <v>90</v>
      </c>
      <c r="P57" s="101">
        <v>6</v>
      </c>
      <c r="Q57" s="8"/>
      <c r="R57" s="8"/>
      <c r="S57" s="100" t="s">
        <v>90</v>
      </c>
      <c r="T57" s="101">
        <v>60</v>
      </c>
      <c r="W57" s="100" t="s">
        <v>90</v>
      </c>
      <c r="X57" s="101">
        <v>21</v>
      </c>
      <c r="AA57" s="100" t="s">
        <v>90</v>
      </c>
      <c r="AB57" s="101">
        <v>27</v>
      </c>
      <c r="AI57" s="9"/>
      <c r="AJ57" s="22"/>
      <c r="AM57" s="9"/>
      <c r="AN57" s="22"/>
      <c r="AQ57" s="100" t="s">
        <v>90</v>
      </c>
      <c r="AR57" s="101">
        <v>36</v>
      </c>
      <c r="AU57" s="9"/>
      <c r="AV57" s="22"/>
      <c r="AY57" s="100" t="s">
        <v>90</v>
      </c>
      <c r="AZ57" s="101">
        <v>43</v>
      </c>
      <c r="BC57" s="100" t="s">
        <v>90</v>
      </c>
      <c r="BD57" s="101">
        <v>60</v>
      </c>
      <c r="BF57" s="100" t="s">
        <v>90</v>
      </c>
      <c r="BG57" s="101">
        <v>33</v>
      </c>
      <c r="BJ57" s="100" t="s">
        <v>90</v>
      </c>
      <c r="BK57" s="101">
        <v>51</v>
      </c>
      <c r="BN57" s="9"/>
      <c r="BO57" s="22"/>
      <c r="BR57" s="9"/>
      <c r="BS57" s="22"/>
      <c r="BV57" s="9"/>
      <c r="BW57" s="22"/>
      <c r="BZ57" s="9"/>
      <c r="CA57" s="22"/>
      <c r="CD57" s="100" t="s">
        <v>90</v>
      </c>
      <c r="CE57" s="101">
        <v>15</v>
      </c>
      <c r="CH57" s="100" t="s">
        <v>90</v>
      </c>
      <c r="CI57" s="101">
        <v>32</v>
      </c>
      <c r="CL57" s="100" t="s">
        <v>90</v>
      </c>
      <c r="CM57" s="101">
        <v>50</v>
      </c>
      <c r="CP57" s="9"/>
      <c r="CQ57" s="22"/>
      <c r="CT57" s="100" t="s">
        <v>90</v>
      </c>
      <c r="CU57" s="101">
        <v>25</v>
      </c>
      <c r="CX57" s="9"/>
      <c r="CY57" s="22"/>
      <c r="DB57" s="100" t="s">
        <v>90</v>
      </c>
      <c r="DC57" s="101">
        <v>40</v>
      </c>
      <c r="DF57" s="100" t="s">
        <v>90</v>
      </c>
      <c r="DG57" s="101">
        <v>26</v>
      </c>
      <c r="DJ57" s="100" t="s">
        <v>90</v>
      </c>
      <c r="DK57" s="101">
        <v>52</v>
      </c>
      <c r="DN57" s="100" t="s">
        <v>90</v>
      </c>
      <c r="DO57" s="101">
        <v>24</v>
      </c>
      <c r="DR57" s="100" t="s">
        <v>90</v>
      </c>
      <c r="DS57" s="101">
        <v>42</v>
      </c>
      <c r="DV57" s="100" t="s">
        <v>90</v>
      </c>
      <c r="DW57" s="101">
        <v>49</v>
      </c>
      <c r="DZ57" s="100" t="s">
        <v>90</v>
      </c>
      <c r="EA57" s="101">
        <v>35</v>
      </c>
      <c r="ED57" s="100" t="s">
        <v>90</v>
      </c>
      <c r="EE57" s="101">
        <v>12</v>
      </c>
      <c r="EH57" s="100" t="s">
        <v>90</v>
      </c>
      <c r="EI57" s="101">
        <v>100</v>
      </c>
      <c r="EK57" s="100" t="s">
        <v>90</v>
      </c>
      <c r="EL57" s="101">
        <v>27</v>
      </c>
      <c r="EO57" s="100" t="s">
        <v>90</v>
      </c>
      <c r="EP57" s="101">
        <v>6</v>
      </c>
      <c r="ES57" s="100" t="s">
        <v>90</v>
      </c>
      <c r="ET57" s="101">
        <v>0.9</v>
      </c>
      <c r="FA57" s="100" t="s">
        <v>292</v>
      </c>
      <c r="FB57" s="101">
        <v>51</v>
      </c>
    </row>
    <row r="58" spans="7:158" x14ac:dyDescent="0.25">
      <c r="G58" s="100" t="s">
        <v>91</v>
      </c>
      <c r="H58" s="101">
        <v>17</v>
      </c>
      <c r="J58" s="8"/>
      <c r="K58" s="9"/>
      <c r="L58" s="22"/>
      <c r="M58" s="8"/>
      <c r="N58" s="8"/>
      <c r="O58" s="102" t="s">
        <v>91</v>
      </c>
      <c r="P58" s="101">
        <v>7</v>
      </c>
      <c r="Q58" s="8"/>
      <c r="R58" s="8"/>
      <c r="S58" s="100" t="s">
        <v>91</v>
      </c>
      <c r="T58" s="101">
        <v>50</v>
      </c>
      <c r="W58" s="100" t="s">
        <v>91</v>
      </c>
      <c r="X58" s="101">
        <v>21</v>
      </c>
      <c r="AA58" s="100" t="s">
        <v>91</v>
      </c>
      <c r="AB58" s="101">
        <v>21</v>
      </c>
      <c r="AI58" s="9"/>
      <c r="AJ58" s="22"/>
      <c r="AM58" s="9"/>
      <c r="AN58" s="22"/>
      <c r="AQ58" s="100" t="s">
        <v>91</v>
      </c>
      <c r="AR58" s="101">
        <v>30</v>
      </c>
      <c r="AU58" s="9"/>
      <c r="AV58" s="22"/>
      <c r="AY58" s="100" t="s">
        <v>91</v>
      </c>
      <c r="AZ58" s="101">
        <v>38</v>
      </c>
      <c r="BC58" s="100" t="s">
        <v>91</v>
      </c>
      <c r="BD58" s="101">
        <v>52</v>
      </c>
      <c r="BF58" s="100" t="s">
        <v>91</v>
      </c>
      <c r="BG58" s="101">
        <v>26</v>
      </c>
      <c r="BJ58" s="100" t="s">
        <v>91</v>
      </c>
      <c r="BK58" s="101">
        <v>44</v>
      </c>
      <c r="BN58" s="9"/>
      <c r="BO58" s="22"/>
      <c r="BR58" s="9"/>
      <c r="BS58" s="22"/>
      <c r="BV58" s="9"/>
      <c r="BW58" s="22"/>
      <c r="BZ58" s="9"/>
      <c r="CA58" s="22"/>
      <c r="CD58" s="100" t="s">
        <v>91</v>
      </c>
      <c r="CE58" s="101">
        <v>11</v>
      </c>
      <c r="CH58" s="100" t="s">
        <v>91</v>
      </c>
      <c r="CI58" s="101">
        <v>20</v>
      </c>
      <c r="CL58" s="100" t="s">
        <v>91</v>
      </c>
      <c r="CM58" s="101">
        <v>35</v>
      </c>
      <c r="CP58" s="9"/>
      <c r="CQ58" s="22"/>
      <c r="CT58" s="100" t="s">
        <v>91</v>
      </c>
      <c r="CU58" s="101">
        <v>26</v>
      </c>
      <c r="CX58" s="9"/>
      <c r="CY58" s="22"/>
      <c r="DB58" s="100" t="s">
        <v>91</v>
      </c>
      <c r="DC58" s="101">
        <v>18</v>
      </c>
      <c r="DF58" s="100" t="s">
        <v>91</v>
      </c>
      <c r="DG58" s="101">
        <v>22</v>
      </c>
      <c r="DJ58" s="100" t="s">
        <v>91</v>
      </c>
      <c r="DK58" s="101">
        <v>43</v>
      </c>
      <c r="DN58" s="100" t="s">
        <v>91</v>
      </c>
      <c r="DO58" s="101">
        <v>18</v>
      </c>
      <c r="DR58" s="100" t="s">
        <v>91</v>
      </c>
      <c r="DS58" s="101">
        <v>58</v>
      </c>
      <c r="DV58" s="100" t="s">
        <v>91</v>
      </c>
      <c r="DW58" s="101">
        <v>49</v>
      </c>
      <c r="DZ58" s="100" t="s">
        <v>91</v>
      </c>
      <c r="EA58" s="101">
        <v>31</v>
      </c>
      <c r="ED58" s="100" t="s">
        <v>91</v>
      </c>
      <c r="EE58" s="101">
        <v>14</v>
      </c>
      <c r="EH58" s="100" t="s">
        <v>91</v>
      </c>
      <c r="EI58" s="101">
        <v>67</v>
      </c>
      <c r="EK58" s="100" t="s">
        <v>91</v>
      </c>
      <c r="EL58" s="101">
        <v>24</v>
      </c>
      <c r="EO58" s="100" t="s">
        <v>91</v>
      </c>
      <c r="EP58" s="101">
        <v>3</v>
      </c>
      <c r="ES58" s="100" t="s">
        <v>91</v>
      </c>
      <c r="ET58" s="101">
        <v>0.6</v>
      </c>
      <c r="FA58" s="100" t="s">
        <v>293</v>
      </c>
      <c r="FB58" s="101">
        <v>43</v>
      </c>
    </row>
    <row r="59" spans="7:158" x14ac:dyDescent="0.25">
      <c r="G59" s="100" t="s">
        <v>92</v>
      </c>
      <c r="H59" s="101">
        <v>6</v>
      </c>
      <c r="J59" s="8"/>
      <c r="K59" s="9"/>
      <c r="L59" s="22"/>
      <c r="M59" s="8"/>
      <c r="N59" s="8"/>
      <c r="O59" s="102" t="s">
        <v>92</v>
      </c>
      <c r="P59" s="101">
        <v>3</v>
      </c>
      <c r="Q59" s="8"/>
      <c r="R59" s="8"/>
      <c r="S59" s="100" t="s">
        <v>92</v>
      </c>
      <c r="T59" s="101">
        <v>37</v>
      </c>
      <c r="W59" s="100" t="s">
        <v>92</v>
      </c>
      <c r="X59" s="101">
        <v>17</v>
      </c>
      <c r="AA59" s="100" t="s">
        <v>92</v>
      </c>
      <c r="AB59" s="101">
        <v>17</v>
      </c>
      <c r="AI59" s="9"/>
      <c r="AJ59" s="22"/>
      <c r="AM59" s="9"/>
      <c r="AN59" s="22"/>
      <c r="AQ59" s="100" t="s">
        <v>92</v>
      </c>
      <c r="AR59" s="101">
        <v>22</v>
      </c>
      <c r="AU59" s="9"/>
      <c r="AV59" s="22"/>
      <c r="AY59" s="100" t="s">
        <v>92</v>
      </c>
      <c r="AZ59" s="101">
        <v>30</v>
      </c>
      <c r="BC59" s="100" t="s">
        <v>92</v>
      </c>
      <c r="BD59" s="101">
        <v>52</v>
      </c>
      <c r="BF59" s="100" t="s">
        <v>92</v>
      </c>
      <c r="BG59" s="101">
        <v>15</v>
      </c>
      <c r="BJ59" s="100" t="s">
        <v>92</v>
      </c>
      <c r="BK59" s="101">
        <v>43</v>
      </c>
      <c r="BN59" s="9"/>
      <c r="BO59" s="22"/>
      <c r="BR59" s="9"/>
      <c r="BS59" s="22"/>
      <c r="BV59" s="9"/>
      <c r="BW59" s="22"/>
      <c r="BZ59" s="9"/>
      <c r="CA59" s="22"/>
      <c r="CD59" s="100" t="s">
        <v>92</v>
      </c>
      <c r="CE59" s="101">
        <v>8</v>
      </c>
      <c r="CH59" s="100" t="s">
        <v>92</v>
      </c>
      <c r="CI59" s="101">
        <v>7</v>
      </c>
      <c r="CL59" s="100" t="s">
        <v>92</v>
      </c>
      <c r="CM59" s="101">
        <v>16</v>
      </c>
      <c r="CP59" s="9"/>
      <c r="CQ59" s="22"/>
      <c r="CT59" s="100" t="s">
        <v>92</v>
      </c>
      <c r="CU59" s="101">
        <v>25</v>
      </c>
      <c r="CX59" s="9"/>
      <c r="CY59" s="22"/>
      <c r="DB59" s="100" t="s">
        <v>92</v>
      </c>
      <c r="DC59" s="101">
        <v>21</v>
      </c>
      <c r="DF59" s="100" t="s">
        <v>92</v>
      </c>
      <c r="DG59" s="101">
        <v>18</v>
      </c>
      <c r="DJ59" s="100" t="s">
        <v>92</v>
      </c>
      <c r="DK59" s="101">
        <v>25</v>
      </c>
      <c r="DN59" s="100" t="s">
        <v>92</v>
      </c>
      <c r="DO59" s="101">
        <v>8</v>
      </c>
      <c r="DR59" s="100" t="s">
        <v>92</v>
      </c>
      <c r="DS59" s="101">
        <v>12</v>
      </c>
      <c r="DV59" s="100" t="s">
        <v>92</v>
      </c>
      <c r="DW59" s="101">
        <v>94</v>
      </c>
      <c r="DZ59" s="100" t="s">
        <v>92</v>
      </c>
      <c r="EA59" s="101">
        <v>18</v>
      </c>
      <c r="ED59" s="100" t="s">
        <v>92</v>
      </c>
      <c r="EE59" s="101">
        <v>8</v>
      </c>
      <c r="EH59" s="100" t="s">
        <v>92</v>
      </c>
      <c r="EI59" s="101">
        <v>49</v>
      </c>
      <c r="EK59" s="100" t="s">
        <v>92</v>
      </c>
      <c r="EL59" s="101">
        <v>17</v>
      </c>
      <c r="EO59" s="100" t="s">
        <v>92</v>
      </c>
      <c r="EP59" s="101">
        <v>3</v>
      </c>
      <c r="ES59" s="100" t="s">
        <v>92</v>
      </c>
      <c r="ET59" s="101">
        <v>0.4</v>
      </c>
      <c r="FA59" s="100" t="s">
        <v>294</v>
      </c>
      <c r="FB59" s="101">
        <v>23</v>
      </c>
    </row>
    <row r="60" spans="7:158" x14ac:dyDescent="0.25">
      <c r="G60" s="100" t="s">
        <v>93</v>
      </c>
      <c r="H60" s="101">
        <v>11</v>
      </c>
      <c r="J60" s="8"/>
      <c r="K60" s="9"/>
      <c r="L60" s="22"/>
      <c r="M60" s="8"/>
      <c r="N60" s="8"/>
      <c r="O60" s="102" t="s">
        <v>93</v>
      </c>
      <c r="P60" s="101">
        <v>4</v>
      </c>
      <c r="Q60" s="8"/>
      <c r="R60" s="8"/>
      <c r="S60" s="100" t="s">
        <v>93</v>
      </c>
      <c r="T60" s="101">
        <v>43</v>
      </c>
      <c r="W60" s="100" t="s">
        <v>93</v>
      </c>
      <c r="X60" s="101">
        <v>20</v>
      </c>
      <c r="AA60" s="100" t="s">
        <v>93</v>
      </c>
      <c r="AB60" s="101">
        <v>23</v>
      </c>
      <c r="AI60" s="9"/>
      <c r="AJ60" s="22"/>
      <c r="AM60" s="9"/>
      <c r="AN60" s="22"/>
      <c r="AQ60" s="100" t="s">
        <v>93</v>
      </c>
      <c r="AR60" s="101">
        <v>32</v>
      </c>
      <c r="AU60" s="9"/>
      <c r="AV60" s="22"/>
      <c r="AY60" s="100" t="s">
        <v>93</v>
      </c>
      <c r="AZ60" s="101">
        <v>32</v>
      </c>
      <c r="BC60" s="100" t="s">
        <v>93</v>
      </c>
      <c r="BD60" s="101">
        <v>56</v>
      </c>
      <c r="BF60" s="100" t="s">
        <v>93</v>
      </c>
      <c r="BG60" s="101">
        <v>22</v>
      </c>
      <c r="BJ60" s="100" t="s">
        <v>93</v>
      </c>
      <c r="BK60" s="101">
        <v>24</v>
      </c>
      <c r="BN60" s="9"/>
      <c r="BO60" s="22"/>
      <c r="BR60" s="9"/>
      <c r="BS60" s="22"/>
      <c r="BV60" s="9"/>
      <c r="BW60" s="22"/>
      <c r="BZ60" s="9"/>
      <c r="CA60" s="22"/>
      <c r="CD60" s="100" t="s">
        <v>93</v>
      </c>
      <c r="CE60" s="101">
        <v>9</v>
      </c>
      <c r="CH60" s="100" t="s">
        <v>93</v>
      </c>
      <c r="CI60" s="101">
        <v>9</v>
      </c>
      <c r="CL60" s="100" t="s">
        <v>93</v>
      </c>
      <c r="CM60" s="101">
        <v>21</v>
      </c>
      <c r="CP60" s="9"/>
      <c r="CQ60" s="22"/>
      <c r="CT60" s="100" t="s">
        <v>93</v>
      </c>
      <c r="CU60" s="101">
        <v>29</v>
      </c>
      <c r="CX60" s="9"/>
      <c r="CY60" s="22"/>
      <c r="DB60" s="100" t="s">
        <v>93</v>
      </c>
      <c r="DC60" s="101">
        <v>24</v>
      </c>
      <c r="DF60" s="100" t="s">
        <v>93</v>
      </c>
      <c r="DG60" s="101">
        <v>18</v>
      </c>
      <c r="DJ60" s="100" t="s">
        <v>93</v>
      </c>
      <c r="DK60" s="101">
        <v>37</v>
      </c>
      <c r="DN60" s="100" t="s">
        <v>93</v>
      </c>
      <c r="DO60" s="101">
        <v>14</v>
      </c>
      <c r="DR60" s="100" t="s">
        <v>93</v>
      </c>
      <c r="DS60" s="101">
        <v>29</v>
      </c>
      <c r="DV60" s="100" t="s">
        <v>93</v>
      </c>
      <c r="DW60" s="101">
        <v>52</v>
      </c>
      <c r="DZ60" s="100" t="s">
        <v>93</v>
      </c>
      <c r="EA60" s="101">
        <v>18</v>
      </c>
      <c r="ED60" s="100" t="s">
        <v>93</v>
      </c>
      <c r="EE60" s="101">
        <v>9</v>
      </c>
      <c r="EH60" s="100" t="s">
        <v>93</v>
      </c>
      <c r="EI60" s="101">
        <v>54</v>
      </c>
      <c r="EK60" s="100" t="s">
        <v>93</v>
      </c>
      <c r="EL60" s="101">
        <v>20</v>
      </c>
      <c r="EO60" s="100" t="s">
        <v>93</v>
      </c>
      <c r="EP60" s="101">
        <v>3</v>
      </c>
      <c r="ES60" s="100" t="s">
        <v>93</v>
      </c>
      <c r="ET60" s="101">
        <v>0.6</v>
      </c>
      <c r="FA60" s="100" t="s">
        <v>295</v>
      </c>
      <c r="FB60" s="101">
        <v>39</v>
      </c>
    </row>
    <row r="61" spans="7:158" x14ac:dyDescent="0.25">
      <c r="G61" s="100" t="s">
        <v>94</v>
      </c>
      <c r="H61" s="101">
        <v>19</v>
      </c>
      <c r="J61" s="8"/>
      <c r="K61" s="9"/>
      <c r="L61" s="22"/>
      <c r="M61" s="8"/>
      <c r="N61" s="8"/>
      <c r="O61" s="102" t="s">
        <v>94</v>
      </c>
      <c r="P61" s="101">
        <v>4</v>
      </c>
      <c r="Q61" s="8"/>
      <c r="R61" s="8"/>
      <c r="S61" s="100" t="s">
        <v>94</v>
      </c>
      <c r="T61" s="101">
        <v>53</v>
      </c>
      <c r="W61" s="100" t="s">
        <v>94</v>
      </c>
      <c r="X61" s="101">
        <v>25</v>
      </c>
      <c r="AA61" s="100" t="s">
        <v>94</v>
      </c>
      <c r="AB61" s="101">
        <v>24</v>
      </c>
      <c r="AI61" s="9"/>
      <c r="AJ61" s="22"/>
      <c r="AM61" s="9"/>
      <c r="AN61" s="22"/>
      <c r="AQ61" s="100" t="s">
        <v>94</v>
      </c>
      <c r="AR61" s="101">
        <v>23</v>
      </c>
      <c r="AU61" s="9"/>
      <c r="AV61" s="22"/>
      <c r="AY61" s="100" t="s">
        <v>94</v>
      </c>
      <c r="AZ61" s="101">
        <v>35</v>
      </c>
      <c r="BC61" s="100" t="s">
        <v>94</v>
      </c>
      <c r="BD61" s="101">
        <v>56</v>
      </c>
      <c r="BF61" s="100" t="s">
        <v>94</v>
      </c>
      <c r="BG61" s="101">
        <v>25</v>
      </c>
      <c r="BJ61" s="100" t="s">
        <v>94</v>
      </c>
      <c r="BK61" s="101">
        <v>51</v>
      </c>
      <c r="BN61" s="9"/>
      <c r="BO61" s="22"/>
      <c r="BR61" s="9"/>
      <c r="BS61" s="22"/>
      <c r="BV61" s="9"/>
      <c r="BW61" s="22"/>
      <c r="BZ61" s="9"/>
      <c r="CA61" s="22"/>
      <c r="CD61" s="100" t="s">
        <v>94</v>
      </c>
      <c r="CE61" s="101">
        <v>12</v>
      </c>
      <c r="CH61" s="100" t="s">
        <v>94</v>
      </c>
      <c r="CI61" s="101">
        <v>16</v>
      </c>
      <c r="CL61" s="100" t="s">
        <v>94</v>
      </c>
      <c r="CM61" s="101">
        <v>37</v>
      </c>
      <c r="CP61" s="9"/>
      <c r="CQ61" s="22"/>
      <c r="CT61" s="100" t="s">
        <v>94</v>
      </c>
      <c r="CU61" s="101">
        <v>23</v>
      </c>
      <c r="CX61" s="9"/>
      <c r="CY61" s="22"/>
      <c r="DB61" s="100" t="s">
        <v>94</v>
      </c>
      <c r="DC61" s="101">
        <v>27</v>
      </c>
      <c r="DF61" s="100" t="s">
        <v>94</v>
      </c>
      <c r="DG61" s="101">
        <v>28</v>
      </c>
      <c r="DJ61" s="100" t="s">
        <v>94</v>
      </c>
      <c r="DK61" s="101">
        <v>53</v>
      </c>
      <c r="DN61" s="100" t="s">
        <v>94</v>
      </c>
      <c r="DO61" s="101">
        <v>20</v>
      </c>
      <c r="DR61" s="100" t="s">
        <v>94</v>
      </c>
      <c r="DS61" s="101">
        <v>44</v>
      </c>
      <c r="DV61" s="100" t="s">
        <v>94</v>
      </c>
      <c r="DW61" s="101">
        <v>34</v>
      </c>
      <c r="DZ61" s="100" t="s">
        <v>94</v>
      </c>
      <c r="EA61" s="101">
        <v>28</v>
      </c>
      <c r="ED61" s="100" t="s">
        <v>94</v>
      </c>
      <c r="EE61" s="101">
        <v>12</v>
      </c>
      <c r="EH61" s="100" t="s">
        <v>94</v>
      </c>
      <c r="EI61" s="101">
        <v>70</v>
      </c>
      <c r="EK61" s="100" t="s">
        <v>94</v>
      </c>
      <c r="EL61" s="101">
        <v>26</v>
      </c>
      <c r="EO61" s="100" t="s">
        <v>94</v>
      </c>
      <c r="EP61" s="101">
        <v>3</v>
      </c>
      <c r="ES61" s="100" t="s">
        <v>94</v>
      </c>
      <c r="ET61" s="101">
        <v>0.9</v>
      </c>
      <c r="FA61" s="100" t="s">
        <v>296</v>
      </c>
      <c r="FB61" s="101">
        <v>51</v>
      </c>
    </row>
    <row r="62" spans="7:158" x14ac:dyDescent="0.25">
      <c r="G62" s="100" t="s">
        <v>95</v>
      </c>
      <c r="H62" s="101">
        <v>22</v>
      </c>
      <c r="J62" s="8"/>
      <c r="K62" s="9"/>
      <c r="L62" s="22"/>
      <c r="M62" s="8"/>
      <c r="N62" s="8"/>
      <c r="O62" s="102" t="s">
        <v>95</v>
      </c>
      <c r="P62" s="101">
        <v>5</v>
      </c>
      <c r="Q62" s="8"/>
      <c r="R62" s="8"/>
      <c r="S62" s="100" t="s">
        <v>95</v>
      </c>
      <c r="T62" s="101">
        <v>53</v>
      </c>
      <c r="W62" s="100" t="s">
        <v>95</v>
      </c>
      <c r="X62" s="101">
        <v>25</v>
      </c>
      <c r="AA62" s="100" t="s">
        <v>95</v>
      </c>
      <c r="AB62" s="101">
        <v>27</v>
      </c>
      <c r="AI62" s="9"/>
      <c r="AJ62" s="22"/>
      <c r="AM62" s="9"/>
      <c r="AN62" s="22"/>
      <c r="AQ62" s="100" t="s">
        <v>95</v>
      </c>
      <c r="AR62" s="101">
        <v>26</v>
      </c>
      <c r="AU62" s="9"/>
      <c r="AV62" s="22"/>
      <c r="AY62" s="100" t="s">
        <v>95</v>
      </c>
      <c r="AZ62" s="101">
        <v>36</v>
      </c>
      <c r="BC62" s="100" t="s">
        <v>95</v>
      </c>
      <c r="BD62" s="101">
        <v>63</v>
      </c>
      <c r="BF62" s="100" t="s">
        <v>95</v>
      </c>
      <c r="BG62" s="101">
        <v>30</v>
      </c>
      <c r="BJ62" s="100" t="s">
        <v>95</v>
      </c>
      <c r="BK62" s="101">
        <v>45</v>
      </c>
      <c r="BN62" s="9"/>
      <c r="BO62" s="22"/>
      <c r="BR62" s="9"/>
      <c r="BS62" s="22"/>
      <c r="BV62" s="9"/>
      <c r="BW62" s="22"/>
      <c r="BZ62" s="9"/>
      <c r="CA62" s="22"/>
      <c r="CD62" s="100" t="s">
        <v>95</v>
      </c>
      <c r="CE62" s="101">
        <v>13</v>
      </c>
      <c r="CH62" s="100" t="s">
        <v>95</v>
      </c>
      <c r="CI62" s="101">
        <v>24</v>
      </c>
      <c r="CL62" s="100" t="s">
        <v>95</v>
      </c>
      <c r="CM62" s="101">
        <v>43</v>
      </c>
      <c r="CP62" s="9"/>
      <c r="CQ62" s="22"/>
      <c r="CT62" s="100" t="s">
        <v>95</v>
      </c>
      <c r="CU62" s="101">
        <v>32</v>
      </c>
      <c r="CX62" s="9"/>
      <c r="CY62" s="22"/>
      <c r="DB62" s="100" t="s">
        <v>95</v>
      </c>
      <c r="DC62" s="101">
        <v>50</v>
      </c>
      <c r="DF62" s="100" t="s">
        <v>95</v>
      </c>
      <c r="DG62" s="101">
        <v>23</v>
      </c>
      <c r="DJ62" s="100" t="s">
        <v>95</v>
      </c>
      <c r="DK62" s="101">
        <v>55</v>
      </c>
      <c r="DN62" s="100" t="s">
        <v>95</v>
      </c>
      <c r="DO62" s="101">
        <v>19</v>
      </c>
      <c r="DR62" s="100" t="s">
        <v>95</v>
      </c>
      <c r="DS62" s="101">
        <v>41</v>
      </c>
      <c r="DV62" s="100" t="s">
        <v>95</v>
      </c>
      <c r="DW62" s="101">
        <v>39</v>
      </c>
      <c r="DZ62" s="100" t="s">
        <v>95</v>
      </c>
      <c r="EA62" s="101">
        <v>48</v>
      </c>
      <c r="ED62" s="100" t="s">
        <v>95</v>
      </c>
      <c r="EE62" s="101">
        <v>11</v>
      </c>
      <c r="EH62" s="100" t="s">
        <v>95</v>
      </c>
      <c r="EI62" s="101">
        <v>66</v>
      </c>
      <c r="EK62" s="100" t="s">
        <v>95</v>
      </c>
      <c r="EL62" s="101">
        <v>30</v>
      </c>
      <c r="EO62" s="100" t="s">
        <v>95</v>
      </c>
      <c r="EP62" s="101">
        <v>3</v>
      </c>
      <c r="ES62" s="100" t="s">
        <v>95</v>
      </c>
      <c r="ET62" s="101">
        <v>0.6</v>
      </c>
      <c r="FA62" s="100" t="s">
        <v>297</v>
      </c>
      <c r="FB62" s="101">
        <v>51</v>
      </c>
    </row>
    <row r="63" spans="7:158" x14ac:dyDescent="0.25">
      <c r="G63" s="100" t="s">
        <v>96</v>
      </c>
      <c r="H63" s="101">
        <v>20</v>
      </c>
      <c r="J63" s="8"/>
      <c r="K63" s="9"/>
      <c r="L63" s="22"/>
      <c r="M63" s="8"/>
      <c r="N63" s="8"/>
      <c r="O63" s="102" t="s">
        <v>96</v>
      </c>
      <c r="P63" s="101">
        <v>5</v>
      </c>
      <c r="Q63" s="8"/>
      <c r="R63" s="8"/>
      <c r="S63" s="100" t="s">
        <v>96</v>
      </c>
      <c r="T63" s="101">
        <v>59</v>
      </c>
      <c r="W63" s="100" t="s">
        <v>96</v>
      </c>
      <c r="X63" s="101">
        <v>24</v>
      </c>
      <c r="AA63" s="100" t="s">
        <v>96</v>
      </c>
      <c r="AB63" s="101">
        <v>25</v>
      </c>
      <c r="AI63" s="9"/>
      <c r="AJ63" s="22"/>
      <c r="AM63" s="9"/>
      <c r="AN63" s="22"/>
      <c r="AQ63" s="100" t="s">
        <v>96</v>
      </c>
      <c r="AR63" s="101">
        <v>32</v>
      </c>
      <c r="AU63" s="9"/>
      <c r="AV63" s="22"/>
      <c r="AY63" s="100" t="s">
        <v>96</v>
      </c>
      <c r="AZ63" s="101">
        <v>36</v>
      </c>
      <c r="BC63" s="100" t="s">
        <v>96</v>
      </c>
      <c r="BD63" s="101">
        <v>68</v>
      </c>
      <c r="BF63" s="100" t="s">
        <v>96</v>
      </c>
      <c r="BG63" s="101">
        <v>33</v>
      </c>
      <c r="BJ63" s="100" t="s">
        <v>96</v>
      </c>
      <c r="BK63" s="101">
        <v>41</v>
      </c>
      <c r="BN63" s="9"/>
      <c r="BO63" s="22"/>
      <c r="BR63" s="9"/>
      <c r="BS63" s="22"/>
      <c r="BV63" s="9"/>
      <c r="BW63" s="22"/>
      <c r="BZ63" s="9"/>
      <c r="CA63" s="22"/>
      <c r="CD63" s="100" t="s">
        <v>96</v>
      </c>
      <c r="CE63" s="101">
        <v>14</v>
      </c>
      <c r="CH63" s="100" t="s">
        <v>96</v>
      </c>
      <c r="CI63" s="101">
        <v>19</v>
      </c>
      <c r="CL63" s="100" t="s">
        <v>96</v>
      </c>
      <c r="CM63" s="101">
        <v>42</v>
      </c>
      <c r="CP63" s="9"/>
      <c r="CQ63" s="22"/>
      <c r="CT63" s="100" t="s">
        <v>96</v>
      </c>
      <c r="CU63" s="101">
        <v>38</v>
      </c>
      <c r="CX63" s="9"/>
      <c r="CY63" s="22"/>
      <c r="DB63" s="100" t="s">
        <v>96</v>
      </c>
      <c r="DC63" s="101">
        <v>62</v>
      </c>
      <c r="DF63" s="100" t="s">
        <v>96</v>
      </c>
      <c r="DG63" s="101">
        <v>29</v>
      </c>
      <c r="DJ63" s="100" t="s">
        <v>96</v>
      </c>
      <c r="DK63" s="101">
        <v>55</v>
      </c>
      <c r="DN63" s="100" t="s">
        <v>96</v>
      </c>
      <c r="DO63" s="101">
        <v>22</v>
      </c>
      <c r="DR63" s="100" t="s">
        <v>96</v>
      </c>
      <c r="DS63" s="101">
        <v>62</v>
      </c>
      <c r="DV63" s="100" t="s">
        <v>96</v>
      </c>
      <c r="DW63" s="101">
        <v>48</v>
      </c>
      <c r="DZ63" s="100" t="s">
        <v>96</v>
      </c>
      <c r="EA63" s="101">
        <v>43</v>
      </c>
      <c r="ED63" s="100" t="s">
        <v>96</v>
      </c>
      <c r="EE63" s="101">
        <v>13</v>
      </c>
      <c r="EH63" s="100" t="s">
        <v>96</v>
      </c>
      <c r="EI63" s="101">
        <v>79</v>
      </c>
      <c r="EK63" s="100" t="s">
        <v>96</v>
      </c>
      <c r="EL63" s="101">
        <v>41</v>
      </c>
      <c r="EO63" s="100" t="s">
        <v>96</v>
      </c>
      <c r="EP63" s="101">
        <v>3</v>
      </c>
      <c r="ES63" s="100" t="s">
        <v>96</v>
      </c>
      <c r="ET63" s="101">
        <v>0.1</v>
      </c>
      <c r="FA63" s="100" t="s">
        <v>298</v>
      </c>
      <c r="FB63" s="101">
        <v>49</v>
      </c>
    </row>
    <row r="64" spans="7:158" x14ac:dyDescent="0.25">
      <c r="G64" s="100" t="s">
        <v>97</v>
      </c>
      <c r="H64" s="101">
        <v>21</v>
      </c>
      <c r="J64" s="8"/>
      <c r="K64" s="9"/>
      <c r="L64" s="22"/>
      <c r="M64" s="8"/>
      <c r="N64" s="8"/>
      <c r="O64" s="102" t="s">
        <v>97</v>
      </c>
      <c r="P64" s="101">
        <v>4</v>
      </c>
      <c r="Q64" s="8"/>
      <c r="R64" s="8"/>
      <c r="S64" s="100" t="s">
        <v>97</v>
      </c>
      <c r="T64" s="101">
        <v>60</v>
      </c>
      <c r="W64" s="100" t="s">
        <v>97</v>
      </c>
      <c r="X64" s="101">
        <v>23</v>
      </c>
      <c r="AA64" s="100" t="s">
        <v>97</v>
      </c>
      <c r="AB64" s="101">
        <v>24</v>
      </c>
      <c r="AI64" s="9"/>
      <c r="AJ64" s="22"/>
      <c r="AM64" s="9"/>
      <c r="AN64" s="22"/>
      <c r="AQ64" s="100" t="s">
        <v>97</v>
      </c>
      <c r="AR64" s="101">
        <v>41</v>
      </c>
      <c r="AU64" s="9"/>
      <c r="AV64" s="22"/>
      <c r="AY64" s="100" t="s">
        <v>97</v>
      </c>
      <c r="AZ64" s="101">
        <v>39</v>
      </c>
      <c r="BC64" s="100" t="s">
        <v>97</v>
      </c>
      <c r="BD64" s="101">
        <v>66</v>
      </c>
      <c r="BF64" s="100" t="s">
        <v>97</v>
      </c>
      <c r="BG64" s="101">
        <v>33</v>
      </c>
      <c r="BJ64" s="100" t="s">
        <v>97</v>
      </c>
      <c r="BK64" s="101">
        <v>37</v>
      </c>
      <c r="BN64" s="9"/>
      <c r="BO64" s="22"/>
      <c r="BR64" s="9"/>
      <c r="BS64" s="22"/>
      <c r="BV64" s="9"/>
      <c r="BW64" s="22"/>
      <c r="BZ64" s="9"/>
      <c r="CA64" s="22"/>
      <c r="CD64" s="100" t="s">
        <v>97</v>
      </c>
      <c r="CE64" s="101">
        <v>13</v>
      </c>
      <c r="CH64" s="100" t="s">
        <v>97</v>
      </c>
      <c r="CI64" s="101">
        <v>20</v>
      </c>
      <c r="CL64" s="100" t="s">
        <v>97</v>
      </c>
      <c r="CM64" s="101">
        <v>50</v>
      </c>
      <c r="CP64" s="9"/>
      <c r="CQ64" s="22"/>
      <c r="CT64" s="100" t="s">
        <v>97</v>
      </c>
      <c r="CU64" s="101">
        <v>30</v>
      </c>
      <c r="CX64" s="9"/>
      <c r="CY64" s="22"/>
      <c r="DB64" s="100" t="s">
        <v>97</v>
      </c>
      <c r="DC64" s="101">
        <v>48</v>
      </c>
      <c r="DF64" s="100" t="s">
        <v>97</v>
      </c>
      <c r="DG64" s="101">
        <v>30</v>
      </c>
      <c r="DJ64" s="100" t="s">
        <v>97</v>
      </c>
      <c r="DK64" s="101">
        <v>56</v>
      </c>
      <c r="DN64" s="100" t="s">
        <v>97</v>
      </c>
      <c r="DO64" s="101">
        <v>24</v>
      </c>
      <c r="DR64" s="100" t="s">
        <v>97</v>
      </c>
      <c r="DS64" s="101">
        <v>53</v>
      </c>
      <c r="DV64" s="100" t="s">
        <v>97</v>
      </c>
      <c r="DW64" s="101">
        <v>40</v>
      </c>
      <c r="DZ64" s="100" t="s">
        <v>97</v>
      </c>
      <c r="EA64" s="101">
        <v>31</v>
      </c>
      <c r="ED64" s="100" t="s">
        <v>97</v>
      </c>
      <c r="EE64" s="101">
        <v>12</v>
      </c>
      <c r="EH64" s="100" t="s">
        <v>97</v>
      </c>
      <c r="EI64" s="101">
        <v>91</v>
      </c>
      <c r="EK64" s="100" t="s">
        <v>97</v>
      </c>
      <c r="EL64" s="101">
        <v>32</v>
      </c>
      <c r="EO64" s="100" t="s">
        <v>97</v>
      </c>
      <c r="EP64" s="101">
        <v>3</v>
      </c>
      <c r="ES64" s="100" t="s">
        <v>97</v>
      </c>
      <c r="ET64" s="101">
        <v>0.7</v>
      </c>
      <c r="FA64" s="100" t="s">
        <v>299</v>
      </c>
      <c r="FB64" s="101">
        <v>51</v>
      </c>
    </row>
    <row r="65" spans="7:158" x14ac:dyDescent="0.25">
      <c r="G65" s="100" t="s">
        <v>98</v>
      </c>
      <c r="H65" s="101">
        <v>21</v>
      </c>
      <c r="J65" s="8"/>
      <c r="K65" s="9"/>
      <c r="L65" s="22"/>
      <c r="M65" s="8"/>
      <c r="N65" s="8"/>
      <c r="O65" s="102" t="s">
        <v>98</v>
      </c>
      <c r="P65" s="101">
        <v>6</v>
      </c>
      <c r="Q65" s="8"/>
      <c r="R65" s="8"/>
      <c r="S65" s="100" t="s">
        <v>98</v>
      </c>
      <c r="T65" s="101">
        <v>59</v>
      </c>
      <c r="W65" s="100" t="s">
        <v>98</v>
      </c>
      <c r="X65" s="101">
        <v>22</v>
      </c>
      <c r="AA65" s="100" t="s">
        <v>98</v>
      </c>
      <c r="AB65" s="101">
        <v>24</v>
      </c>
      <c r="AI65" s="9"/>
      <c r="AJ65" s="22"/>
      <c r="AM65" s="9"/>
      <c r="AN65" s="22"/>
      <c r="AQ65" s="100" t="s">
        <v>98</v>
      </c>
      <c r="AR65" s="101">
        <v>48</v>
      </c>
      <c r="AU65" s="9"/>
      <c r="AV65" s="22"/>
      <c r="AY65" s="100" t="s">
        <v>98</v>
      </c>
      <c r="AZ65" s="101">
        <v>43</v>
      </c>
      <c r="BC65" s="100" t="s">
        <v>98</v>
      </c>
      <c r="BD65" s="101">
        <v>64</v>
      </c>
      <c r="BF65" s="100" t="s">
        <v>98</v>
      </c>
      <c r="BG65" s="101">
        <v>32</v>
      </c>
      <c r="BJ65" s="100" t="s">
        <v>98</v>
      </c>
      <c r="BK65" s="101">
        <v>51</v>
      </c>
      <c r="BN65" s="9"/>
      <c r="BO65" s="22"/>
      <c r="BR65" s="9"/>
      <c r="BS65" s="22"/>
      <c r="BV65" s="9"/>
      <c r="BW65" s="22"/>
      <c r="BZ65" s="9"/>
      <c r="CA65" s="22"/>
      <c r="CD65" s="100" t="s">
        <v>98</v>
      </c>
      <c r="CE65" s="101">
        <v>14</v>
      </c>
      <c r="CH65" s="100" t="s">
        <v>98</v>
      </c>
      <c r="CI65" s="101">
        <v>23</v>
      </c>
      <c r="CL65" s="100" t="s">
        <v>98</v>
      </c>
      <c r="CM65" s="101">
        <v>57</v>
      </c>
      <c r="CP65" s="9"/>
      <c r="CQ65" s="22"/>
      <c r="CT65" s="100" t="s">
        <v>98</v>
      </c>
      <c r="CU65" s="101">
        <v>39</v>
      </c>
      <c r="CX65" s="9"/>
      <c r="CY65" s="22"/>
      <c r="DB65" s="100" t="s">
        <v>98</v>
      </c>
      <c r="DC65" s="101">
        <v>36</v>
      </c>
      <c r="DF65" s="100" t="s">
        <v>98</v>
      </c>
      <c r="DG65" s="101">
        <v>20</v>
      </c>
      <c r="DJ65" s="100" t="s">
        <v>98</v>
      </c>
      <c r="DK65" s="101">
        <v>58</v>
      </c>
      <c r="DN65" s="100" t="s">
        <v>98</v>
      </c>
      <c r="DO65" s="101">
        <v>23</v>
      </c>
      <c r="DR65" s="100" t="s">
        <v>98</v>
      </c>
      <c r="DS65" s="101">
        <v>40</v>
      </c>
      <c r="DV65" s="100" t="s">
        <v>98</v>
      </c>
      <c r="DW65" s="101">
        <v>24</v>
      </c>
      <c r="DZ65" s="100" t="s">
        <v>98</v>
      </c>
      <c r="EA65" s="101">
        <v>34</v>
      </c>
      <c r="ED65" s="100" t="s">
        <v>98</v>
      </c>
      <c r="EE65" s="101">
        <v>11</v>
      </c>
      <c r="EH65" s="100" t="s">
        <v>98</v>
      </c>
      <c r="EI65" s="101">
        <v>72</v>
      </c>
      <c r="EK65" s="100" t="s">
        <v>98</v>
      </c>
      <c r="EL65" s="101">
        <v>30</v>
      </c>
      <c r="EO65" s="100" t="s">
        <v>98</v>
      </c>
      <c r="EP65" s="101">
        <v>4</v>
      </c>
      <c r="ES65" s="100" t="s">
        <v>98</v>
      </c>
      <c r="ET65" s="101">
        <v>0.1</v>
      </c>
      <c r="FA65" s="100" t="s">
        <v>300</v>
      </c>
      <c r="FB65" s="101">
        <v>50</v>
      </c>
    </row>
    <row r="66" spans="7:158" x14ac:dyDescent="0.25">
      <c r="G66" s="100" t="s">
        <v>99</v>
      </c>
      <c r="H66" s="101">
        <v>20</v>
      </c>
      <c r="J66" s="8"/>
      <c r="K66" s="9"/>
      <c r="L66" s="22"/>
      <c r="M66" s="8"/>
      <c r="N66" s="8"/>
      <c r="O66" s="102" t="s">
        <v>99</v>
      </c>
      <c r="P66" s="101">
        <v>7</v>
      </c>
      <c r="Q66" s="8"/>
      <c r="R66" s="8"/>
      <c r="S66" s="100" t="s">
        <v>99</v>
      </c>
      <c r="T66" s="101">
        <v>58</v>
      </c>
      <c r="W66" s="100" t="s">
        <v>99</v>
      </c>
      <c r="X66" s="101">
        <v>22</v>
      </c>
      <c r="AA66" s="100" t="s">
        <v>99</v>
      </c>
      <c r="AB66" s="101">
        <v>25</v>
      </c>
      <c r="AI66" s="9"/>
      <c r="AJ66" s="22"/>
      <c r="AM66" s="9"/>
      <c r="AN66" s="22"/>
      <c r="AQ66" s="100" t="s">
        <v>99</v>
      </c>
      <c r="AR66" s="101">
        <v>37</v>
      </c>
      <c r="AU66" s="9"/>
      <c r="AV66" s="22"/>
      <c r="AY66" s="100" t="s">
        <v>99</v>
      </c>
      <c r="AZ66" s="101">
        <v>41</v>
      </c>
      <c r="BC66" s="100" t="s">
        <v>99</v>
      </c>
      <c r="BD66" s="101">
        <v>60</v>
      </c>
      <c r="BF66" s="100" t="s">
        <v>99</v>
      </c>
      <c r="BG66" s="101">
        <v>31</v>
      </c>
      <c r="BJ66" s="100" t="s">
        <v>99</v>
      </c>
      <c r="BK66" s="101">
        <v>53</v>
      </c>
      <c r="BN66" s="9"/>
      <c r="BO66" s="22"/>
      <c r="BR66" s="9"/>
      <c r="BS66" s="22"/>
      <c r="BV66" s="9"/>
      <c r="BW66" s="22"/>
      <c r="BZ66" s="9"/>
      <c r="CA66" s="22"/>
      <c r="CD66" s="100" t="s">
        <v>99</v>
      </c>
      <c r="CE66" s="101">
        <v>14</v>
      </c>
      <c r="CH66" s="100" t="s">
        <v>99</v>
      </c>
      <c r="CI66" s="101">
        <v>25</v>
      </c>
      <c r="CL66" s="100" t="s">
        <v>99</v>
      </c>
      <c r="CM66" s="101">
        <v>58</v>
      </c>
      <c r="CP66" s="9"/>
      <c r="CQ66" s="22"/>
      <c r="CT66" s="100" t="s">
        <v>99</v>
      </c>
      <c r="CU66" s="101">
        <v>37</v>
      </c>
      <c r="CX66" s="9"/>
      <c r="CY66" s="22"/>
      <c r="DB66" s="100" t="s">
        <v>99</v>
      </c>
      <c r="DC66" s="101">
        <v>35</v>
      </c>
      <c r="DF66" s="100" t="s">
        <v>99</v>
      </c>
      <c r="DG66" s="101">
        <v>12</v>
      </c>
      <c r="DJ66" s="100" t="s">
        <v>99</v>
      </c>
      <c r="DK66" s="101">
        <v>55</v>
      </c>
      <c r="DN66" s="100" t="s">
        <v>99</v>
      </c>
      <c r="DO66" s="101">
        <v>22</v>
      </c>
      <c r="DR66" s="100" t="s">
        <v>99</v>
      </c>
      <c r="DS66" s="101">
        <v>47</v>
      </c>
      <c r="DV66" s="100" t="s">
        <v>99</v>
      </c>
      <c r="DW66" s="101">
        <v>44</v>
      </c>
      <c r="DZ66" s="100" t="s">
        <v>99</v>
      </c>
      <c r="EA66" s="101">
        <v>35</v>
      </c>
      <c r="ED66" s="100" t="s">
        <v>99</v>
      </c>
      <c r="EE66" s="101">
        <v>11</v>
      </c>
      <c r="EH66" s="100" t="s">
        <v>99</v>
      </c>
      <c r="EI66" s="101">
        <v>73</v>
      </c>
      <c r="EK66" s="100" t="s">
        <v>99</v>
      </c>
      <c r="EL66" s="101">
        <v>34</v>
      </c>
      <c r="EO66" s="100" t="s">
        <v>99</v>
      </c>
      <c r="EP66" s="101">
        <v>4</v>
      </c>
      <c r="ES66" s="100" t="s">
        <v>99</v>
      </c>
      <c r="ET66" s="101">
        <v>0.9</v>
      </c>
      <c r="FA66" s="100" t="s">
        <v>301</v>
      </c>
      <c r="FB66" s="101">
        <v>53</v>
      </c>
    </row>
    <row r="67" spans="7:158" x14ac:dyDescent="0.25">
      <c r="G67" s="100" t="s">
        <v>100</v>
      </c>
      <c r="H67" s="101">
        <v>20</v>
      </c>
      <c r="J67" s="8"/>
      <c r="K67" s="9"/>
      <c r="L67" s="22"/>
      <c r="M67" s="8"/>
      <c r="N67" s="8"/>
      <c r="O67" s="102" t="s">
        <v>100</v>
      </c>
      <c r="P67" s="101">
        <v>5</v>
      </c>
      <c r="Q67" s="8"/>
      <c r="R67" s="8"/>
      <c r="S67" s="100" t="s">
        <v>100</v>
      </c>
      <c r="T67" s="101">
        <v>57</v>
      </c>
      <c r="W67" s="100" t="s">
        <v>100</v>
      </c>
      <c r="X67" s="101">
        <v>25</v>
      </c>
      <c r="AA67" s="100" t="s">
        <v>100</v>
      </c>
      <c r="AB67" s="101">
        <v>25</v>
      </c>
      <c r="AI67" s="9"/>
      <c r="AJ67" s="22"/>
      <c r="AM67" s="9"/>
      <c r="AN67" s="22"/>
      <c r="AQ67" s="100" t="s">
        <v>100</v>
      </c>
      <c r="AR67" s="101">
        <v>36</v>
      </c>
      <c r="AU67" s="9"/>
      <c r="AV67" s="22"/>
      <c r="AY67" s="100" t="s">
        <v>100</v>
      </c>
      <c r="AZ67" s="101">
        <v>39</v>
      </c>
      <c r="BC67" s="100" t="s">
        <v>100</v>
      </c>
      <c r="BD67" s="101">
        <v>60</v>
      </c>
      <c r="BF67" s="100" t="s">
        <v>100</v>
      </c>
      <c r="BG67" s="101">
        <v>30</v>
      </c>
      <c r="BJ67" s="100" t="s">
        <v>100</v>
      </c>
      <c r="BK67" s="101">
        <v>57</v>
      </c>
      <c r="BN67" s="9"/>
      <c r="BO67" s="22"/>
      <c r="BR67" s="9"/>
      <c r="BS67" s="22"/>
      <c r="BV67" s="9"/>
      <c r="BW67" s="22"/>
      <c r="BZ67" s="9"/>
      <c r="CA67" s="22"/>
      <c r="CD67" s="100" t="s">
        <v>100</v>
      </c>
      <c r="CE67" s="101">
        <v>14</v>
      </c>
      <c r="CH67" s="100" t="s">
        <v>100</v>
      </c>
      <c r="CI67" s="101">
        <v>21</v>
      </c>
      <c r="CL67" s="100" t="s">
        <v>100</v>
      </c>
      <c r="CM67" s="101">
        <v>57</v>
      </c>
      <c r="CP67" s="9"/>
      <c r="CQ67" s="22"/>
      <c r="CT67" s="100" t="s">
        <v>100</v>
      </c>
      <c r="CU67" s="101">
        <v>57</v>
      </c>
      <c r="CX67" s="9"/>
      <c r="CY67" s="22"/>
      <c r="DB67" s="100" t="s">
        <v>100</v>
      </c>
      <c r="DC67" s="101">
        <v>37</v>
      </c>
      <c r="DF67" s="100" t="s">
        <v>100</v>
      </c>
      <c r="DG67" s="101">
        <v>31</v>
      </c>
      <c r="DJ67" s="100" t="s">
        <v>100</v>
      </c>
      <c r="DK67" s="101">
        <v>51</v>
      </c>
      <c r="DN67" s="100" t="s">
        <v>100</v>
      </c>
      <c r="DO67" s="101">
        <v>23</v>
      </c>
      <c r="DR67" s="100" t="s">
        <v>100</v>
      </c>
      <c r="DS67" s="101">
        <v>51</v>
      </c>
      <c r="DV67" s="100" t="s">
        <v>100</v>
      </c>
      <c r="DW67" s="101">
        <v>42</v>
      </c>
      <c r="DZ67" s="100" t="s">
        <v>100</v>
      </c>
      <c r="EA67" s="101">
        <v>42</v>
      </c>
      <c r="ED67" s="100" t="s">
        <v>100</v>
      </c>
      <c r="EE67" s="101">
        <v>11</v>
      </c>
      <c r="EH67" s="100" t="s">
        <v>100</v>
      </c>
      <c r="EI67" s="101">
        <v>73</v>
      </c>
      <c r="EK67" s="100" t="s">
        <v>100</v>
      </c>
      <c r="EL67" s="101">
        <v>32</v>
      </c>
      <c r="EO67" s="100" t="s">
        <v>100</v>
      </c>
      <c r="EP67" s="101">
        <v>4</v>
      </c>
      <c r="ES67" s="100" t="s">
        <v>100</v>
      </c>
      <c r="ET67" s="101">
        <v>0.7</v>
      </c>
      <c r="FA67" s="100" t="s">
        <v>302</v>
      </c>
      <c r="FB67" s="101">
        <v>53</v>
      </c>
    </row>
    <row r="68" spans="7:158" x14ac:dyDescent="0.25">
      <c r="G68" s="100" t="s">
        <v>101</v>
      </c>
      <c r="H68" s="101">
        <v>24</v>
      </c>
      <c r="J68" s="8"/>
      <c r="K68" s="9"/>
      <c r="L68" s="22"/>
      <c r="M68" s="8"/>
      <c r="N68" s="8"/>
      <c r="O68" s="102" t="s">
        <v>101</v>
      </c>
      <c r="P68" s="101">
        <v>6</v>
      </c>
      <c r="Q68" s="8"/>
      <c r="R68" s="8"/>
      <c r="S68" s="100" t="s">
        <v>101</v>
      </c>
      <c r="T68" s="101">
        <v>59</v>
      </c>
      <c r="W68" s="100" t="s">
        <v>101</v>
      </c>
      <c r="X68" s="101">
        <v>25</v>
      </c>
      <c r="AA68" s="100" t="s">
        <v>101</v>
      </c>
      <c r="AB68" s="101">
        <v>26</v>
      </c>
      <c r="AI68" s="9"/>
      <c r="AJ68" s="22"/>
      <c r="AM68" s="9"/>
      <c r="AN68" s="22"/>
      <c r="AQ68" s="100" t="s">
        <v>101</v>
      </c>
      <c r="AR68" s="101">
        <v>38</v>
      </c>
      <c r="AU68" s="9"/>
      <c r="AV68" s="22"/>
      <c r="AY68" s="100" t="s">
        <v>101</v>
      </c>
      <c r="AZ68" s="101">
        <v>40</v>
      </c>
      <c r="BC68" s="100" t="s">
        <v>101</v>
      </c>
      <c r="BD68" s="101">
        <v>65</v>
      </c>
      <c r="BF68" s="100" t="s">
        <v>101</v>
      </c>
      <c r="BG68" s="101">
        <v>34</v>
      </c>
      <c r="BJ68" s="100" t="s">
        <v>101</v>
      </c>
      <c r="BK68" s="101">
        <v>57</v>
      </c>
      <c r="BN68" s="9"/>
      <c r="BO68" s="22"/>
      <c r="BR68" s="9"/>
      <c r="BS68" s="22"/>
      <c r="BV68" s="9"/>
      <c r="BW68" s="22"/>
      <c r="BZ68" s="9"/>
      <c r="CA68" s="22"/>
      <c r="CD68" s="100" t="s">
        <v>101</v>
      </c>
      <c r="CE68" s="101">
        <v>15</v>
      </c>
      <c r="CH68" s="100" t="s">
        <v>101</v>
      </c>
      <c r="CI68" s="101">
        <v>24</v>
      </c>
      <c r="CL68" s="100" t="s">
        <v>101</v>
      </c>
      <c r="CM68" s="101">
        <v>59</v>
      </c>
      <c r="CP68" s="9"/>
      <c r="CQ68" s="22"/>
      <c r="CT68" s="100" t="s">
        <v>101</v>
      </c>
      <c r="CU68" s="101">
        <v>48</v>
      </c>
      <c r="CX68" s="9"/>
      <c r="CY68" s="22"/>
      <c r="DB68" s="100" t="s">
        <v>101</v>
      </c>
      <c r="DC68" s="101">
        <v>39</v>
      </c>
      <c r="DF68" s="100" t="s">
        <v>101</v>
      </c>
      <c r="DG68" s="101">
        <v>35</v>
      </c>
      <c r="DJ68" s="100" t="s">
        <v>101</v>
      </c>
      <c r="DK68" s="101">
        <v>62</v>
      </c>
      <c r="DN68" s="100" t="s">
        <v>101</v>
      </c>
      <c r="DO68" s="101">
        <v>26</v>
      </c>
      <c r="DR68" s="100" t="s">
        <v>101</v>
      </c>
      <c r="DS68" s="101">
        <v>45</v>
      </c>
      <c r="DV68" s="100" t="s">
        <v>101</v>
      </c>
      <c r="DW68" s="101">
        <v>23</v>
      </c>
      <c r="DZ68" s="100" t="s">
        <v>101</v>
      </c>
      <c r="EA68" s="101">
        <v>47</v>
      </c>
      <c r="ED68" s="100" t="s">
        <v>101</v>
      </c>
      <c r="EE68" s="101">
        <v>13</v>
      </c>
      <c r="EH68" s="100" t="s">
        <v>101</v>
      </c>
      <c r="EI68" s="101">
        <v>75</v>
      </c>
      <c r="EK68" s="100" t="s">
        <v>101</v>
      </c>
      <c r="EL68" s="101">
        <v>32</v>
      </c>
      <c r="EO68" s="100" t="s">
        <v>101</v>
      </c>
      <c r="EP68" s="101">
        <v>4</v>
      </c>
      <c r="ES68" s="100" t="s">
        <v>101</v>
      </c>
      <c r="ET68" s="101">
        <v>0.9</v>
      </c>
      <c r="FA68" s="100" t="s">
        <v>303</v>
      </c>
      <c r="FB68" s="101">
        <v>56</v>
      </c>
    </row>
    <row r="69" spans="7:158" x14ac:dyDescent="0.25">
      <c r="G69" s="100" t="s">
        <v>102</v>
      </c>
      <c r="H69" s="101">
        <v>23</v>
      </c>
      <c r="J69" s="8"/>
      <c r="K69" s="9"/>
      <c r="L69" s="22"/>
      <c r="M69" s="8"/>
      <c r="N69" s="8"/>
      <c r="O69" s="102" t="s">
        <v>102</v>
      </c>
      <c r="P69" s="101">
        <v>7</v>
      </c>
      <c r="Q69" s="8"/>
      <c r="R69" s="8"/>
      <c r="S69" s="100" t="s">
        <v>102</v>
      </c>
      <c r="T69" s="101">
        <v>59</v>
      </c>
      <c r="W69" s="100" t="s">
        <v>102</v>
      </c>
      <c r="X69" s="101">
        <v>23</v>
      </c>
      <c r="AA69" s="100" t="s">
        <v>102</v>
      </c>
      <c r="AB69" s="101">
        <v>23</v>
      </c>
      <c r="AI69" s="9"/>
      <c r="AJ69" s="22"/>
      <c r="AM69" s="9"/>
      <c r="AN69" s="22"/>
      <c r="AQ69" s="100" t="s">
        <v>102</v>
      </c>
      <c r="AR69" s="101">
        <v>36</v>
      </c>
      <c r="AU69" s="9"/>
      <c r="AV69" s="22"/>
      <c r="AY69" s="100" t="s">
        <v>102</v>
      </c>
      <c r="AZ69" s="101">
        <v>39</v>
      </c>
      <c r="BC69" s="100" t="s">
        <v>102</v>
      </c>
      <c r="BD69" s="101">
        <v>68</v>
      </c>
      <c r="BF69" s="100" t="s">
        <v>102</v>
      </c>
      <c r="BG69" s="101">
        <v>41</v>
      </c>
      <c r="BJ69" s="100" t="s">
        <v>102</v>
      </c>
      <c r="BK69" s="101">
        <v>56</v>
      </c>
      <c r="BN69" s="9"/>
      <c r="BO69" s="22"/>
      <c r="BR69" s="9"/>
      <c r="BS69" s="22"/>
      <c r="BV69" s="9"/>
      <c r="BW69" s="22"/>
      <c r="BZ69" s="9"/>
      <c r="CA69" s="22"/>
      <c r="CD69" s="100" t="s">
        <v>102</v>
      </c>
      <c r="CE69" s="101">
        <v>15</v>
      </c>
      <c r="CH69" s="100" t="s">
        <v>102</v>
      </c>
      <c r="CI69" s="101">
        <v>28</v>
      </c>
      <c r="CL69" s="100" t="s">
        <v>102</v>
      </c>
      <c r="CM69" s="101">
        <v>62</v>
      </c>
      <c r="CP69" s="9"/>
      <c r="CQ69" s="22"/>
      <c r="CT69" s="100" t="s">
        <v>102</v>
      </c>
      <c r="CU69" s="101">
        <v>51</v>
      </c>
      <c r="CX69" s="9"/>
      <c r="CY69" s="22"/>
      <c r="DB69" s="100" t="s">
        <v>102</v>
      </c>
      <c r="DC69" s="101">
        <v>42</v>
      </c>
      <c r="DF69" s="100" t="s">
        <v>102</v>
      </c>
      <c r="DG69" s="101">
        <v>22</v>
      </c>
      <c r="DJ69" s="100" t="s">
        <v>102</v>
      </c>
      <c r="DK69" s="101">
        <v>59</v>
      </c>
      <c r="DN69" s="100" t="s">
        <v>102</v>
      </c>
      <c r="DO69" s="101">
        <v>26</v>
      </c>
      <c r="DR69" s="100" t="s">
        <v>102</v>
      </c>
      <c r="DS69" s="101">
        <v>52</v>
      </c>
      <c r="DV69" s="100" t="s">
        <v>102</v>
      </c>
      <c r="DW69" s="101">
        <v>28</v>
      </c>
      <c r="DZ69" s="100" t="s">
        <v>102</v>
      </c>
      <c r="EA69" s="101">
        <v>30</v>
      </c>
      <c r="ED69" s="100" t="s">
        <v>102</v>
      </c>
      <c r="EE69" s="101">
        <v>13</v>
      </c>
      <c r="EH69" s="100" t="s">
        <v>102</v>
      </c>
      <c r="EI69" s="101">
        <v>70</v>
      </c>
      <c r="EK69" s="100" t="s">
        <v>102</v>
      </c>
      <c r="EL69" s="101">
        <v>28</v>
      </c>
      <c r="EO69" s="100" t="s">
        <v>102</v>
      </c>
      <c r="EP69" s="101">
        <v>4</v>
      </c>
      <c r="ES69" s="100" t="s">
        <v>102</v>
      </c>
      <c r="ET69" s="101">
        <v>0.9</v>
      </c>
      <c r="FA69" s="100" t="s">
        <v>304</v>
      </c>
      <c r="FB69" s="101">
        <v>57</v>
      </c>
    </row>
    <row r="70" spans="7:158" x14ac:dyDescent="0.25">
      <c r="G70" s="100" t="s">
        <v>103</v>
      </c>
      <c r="H70" s="101">
        <v>22</v>
      </c>
      <c r="J70" s="8"/>
      <c r="K70" s="9"/>
      <c r="L70" s="22"/>
      <c r="M70" s="8"/>
      <c r="N70" s="8"/>
      <c r="O70" s="102" t="s">
        <v>103</v>
      </c>
      <c r="P70" s="101">
        <v>12</v>
      </c>
      <c r="Q70" s="8"/>
      <c r="R70" s="8"/>
      <c r="S70" s="100" t="s">
        <v>103</v>
      </c>
      <c r="T70" s="101">
        <v>61</v>
      </c>
      <c r="W70" s="100" t="s">
        <v>103</v>
      </c>
      <c r="X70" s="101">
        <v>26</v>
      </c>
      <c r="AA70" s="100" t="s">
        <v>103</v>
      </c>
      <c r="AB70" s="101">
        <v>25</v>
      </c>
      <c r="AI70" s="9"/>
      <c r="AJ70" s="22"/>
      <c r="AM70" s="9"/>
      <c r="AN70" s="22"/>
      <c r="AQ70" s="100" t="s">
        <v>103</v>
      </c>
      <c r="AR70" s="101">
        <v>36</v>
      </c>
      <c r="AU70" s="9"/>
      <c r="AV70" s="22"/>
      <c r="AY70" s="100" t="s">
        <v>103</v>
      </c>
      <c r="AZ70" s="101">
        <v>38</v>
      </c>
      <c r="BC70" s="100" t="s">
        <v>103</v>
      </c>
      <c r="BD70" s="101">
        <v>64</v>
      </c>
      <c r="BF70" s="100" t="s">
        <v>103</v>
      </c>
      <c r="BG70" s="101">
        <v>37</v>
      </c>
      <c r="BJ70" s="100" t="s">
        <v>103</v>
      </c>
      <c r="BK70" s="101">
        <v>51</v>
      </c>
      <c r="BN70" s="9"/>
      <c r="BO70" s="22"/>
      <c r="BR70" s="9"/>
      <c r="BS70" s="22"/>
      <c r="BV70" s="9"/>
      <c r="BW70" s="22"/>
      <c r="BZ70" s="9"/>
      <c r="CA70" s="22"/>
      <c r="CD70" s="100" t="s">
        <v>103</v>
      </c>
      <c r="CE70" s="101">
        <v>14</v>
      </c>
      <c r="CH70" s="100" t="s">
        <v>103</v>
      </c>
      <c r="CI70" s="101">
        <v>28</v>
      </c>
      <c r="CL70" s="100" t="s">
        <v>103</v>
      </c>
      <c r="CM70" s="101">
        <v>56</v>
      </c>
      <c r="CP70" s="9"/>
      <c r="CQ70" s="22"/>
      <c r="CT70" s="100" t="s">
        <v>103</v>
      </c>
      <c r="CU70" s="101">
        <v>44</v>
      </c>
      <c r="CX70" s="9"/>
      <c r="CY70" s="22"/>
      <c r="DB70" s="100" t="s">
        <v>103</v>
      </c>
      <c r="DC70" s="101">
        <v>38</v>
      </c>
      <c r="DF70" s="100" t="s">
        <v>103</v>
      </c>
      <c r="DG70" s="101">
        <v>35</v>
      </c>
      <c r="DJ70" s="100" t="s">
        <v>103</v>
      </c>
      <c r="DK70" s="101">
        <v>57</v>
      </c>
      <c r="DN70" s="100" t="s">
        <v>103</v>
      </c>
      <c r="DO70" s="101">
        <v>24</v>
      </c>
      <c r="DR70" s="100" t="s">
        <v>103</v>
      </c>
      <c r="DS70" s="101">
        <v>42</v>
      </c>
      <c r="DV70" s="100" t="s">
        <v>103</v>
      </c>
      <c r="DW70" s="101">
        <v>40</v>
      </c>
      <c r="DZ70" s="100" t="s">
        <v>103</v>
      </c>
      <c r="EA70" s="101">
        <v>67</v>
      </c>
      <c r="ED70" s="100" t="s">
        <v>103</v>
      </c>
      <c r="EE70" s="101">
        <v>13</v>
      </c>
      <c r="EH70" s="100" t="s">
        <v>103</v>
      </c>
      <c r="EI70" s="101">
        <v>81</v>
      </c>
      <c r="EK70" s="100" t="s">
        <v>103</v>
      </c>
      <c r="EL70" s="101">
        <v>29</v>
      </c>
      <c r="EO70" s="100" t="s">
        <v>103</v>
      </c>
      <c r="EP70" s="101">
        <v>3</v>
      </c>
      <c r="ES70" s="100" t="s">
        <v>103</v>
      </c>
      <c r="ET70" s="101">
        <v>0.1</v>
      </c>
      <c r="FA70" s="100" t="s">
        <v>305</v>
      </c>
      <c r="FB70" s="101">
        <v>54</v>
      </c>
    </row>
    <row r="71" spans="7:158" x14ac:dyDescent="0.25">
      <c r="G71" s="100" t="s">
        <v>104</v>
      </c>
      <c r="H71" s="101">
        <v>22</v>
      </c>
      <c r="J71" s="8"/>
      <c r="K71" s="9"/>
      <c r="L71" s="22"/>
      <c r="M71" s="8"/>
      <c r="N71" s="8"/>
      <c r="O71" s="102" t="s">
        <v>104</v>
      </c>
      <c r="P71" s="101">
        <v>9</v>
      </c>
      <c r="Q71" s="8"/>
      <c r="R71" s="8"/>
      <c r="S71" s="100" t="s">
        <v>104</v>
      </c>
      <c r="T71" s="101">
        <v>55</v>
      </c>
      <c r="W71" s="100" t="s">
        <v>104</v>
      </c>
      <c r="X71" s="101">
        <v>22</v>
      </c>
      <c r="AA71" s="100" t="s">
        <v>104</v>
      </c>
      <c r="AB71" s="101">
        <v>24</v>
      </c>
      <c r="AI71" s="9"/>
      <c r="AJ71" s="22"/>
      <c r="AM71" s="9"/>
      <c r="AN71" s="22"/>
      <c r="AQ71" s="100" t="s">
        <v>104</v>
      </c>
      <c r="AR71" s="101">
        <v>54</v>
      </c>
      <c r="AU71" s="9"/>
      <c r="AV71" s="22"/>
      <c r="AY71" s="100" t="s">
        <v>104</v>
      </c>
      <c r="AZ71" s="101">
        <v>38</v>
      </c>
      <c r="BC71" s="100" t="s">
        <v>104</v>
      </c>
      <c r="BD71" s="101">
        <v>63</v>
      </c>
      <c r="BF71" s="100" t="s">
        <v>104</v>
      </c>
      <c r="BG71" s="101">
        <v>32</v>
      </c>
      <c r="BJ71" s="100" t="s">
        <v>104</v>
      </c>
      <c r="BK71" s="101">
        <v>50</v>
      </c>
      <c r="BN71" s="9"/>
      <c r="BO71" s="22"/>
      <c r="BR71" s="9"/>
      <c r="BS71" s="22"/>
      <c r="BV71" s="9"/>
      <c r="BW71" s="22"/>
      <c r="BZ71" s="9"/>
      <c r="CA71" s="22"/>
      <c r="CD71" s="100" t="s">
        <v>104</v>
      </c>
      <c r="CE71" s="101">
        <v>14</v>
      </c>
      <c r="CH71" s="100" t="s">
        <v>104</v>
      </c>
      <c r="CI71" s="101">
        <v>24</v>
      </c>
      <c r="CL71" s="100" t="s">
        <v>104</v>
      </c>
      <c r="CM71" s="101">
        <v>51</v>
      </c>
      <c r="CP71" s="9"/>
      <c r="CQ71" s="22"/>
      <c r="CT71" s="100" t="s">
        <v>104</v>
      </c>
      <c r="CU71" s="101">
        <v>49</v>
      </c>
      <c r="CX71" s="9"/>
      <c r="CY71" s="22"/>
      <c r="DB71" s="100" t="s">
        <v>104</v>
      </c>
      <c r="DC71" s="101">
        <v>48</v>
      </c>
      <c r="DF71" s="100" t="s">
        <v>104</v>
      </c>
      <c r="DG71" s="101">
        <v>28</v>
      </c>
      <c r="DJ71" s="100" t="s">
        <v>104</v>
      </c>
      <c r="DK71" s="101">
        <v>57</v>
      </c>
      <c r="DN71" s="100" t="s">
        <v>104</v>
      </c>
      <c r="DO71" s="101">
        <v>23</v>
      </c>
      <c r="DR71" s="100" t="s">
        <v>104</v>
      </c>
      <c r="DS71" s="101">
        <v>45</v>
      </c>
      <c r="DV71" s="100" t="s">
        <v>104</v>
      </c>
      <c r="DW71" s="101">
        <v>29</v>
      </c>
      <c r="DZ71" s="100" t="s">
        <v>104</v>
      </c>
      <c r="EA71" s="101">
        <v>39</v>
      </c>
      <c r="ED71" s="100" t="s">
        <v>104</v>
      </c>
      <c r="EE71" s="101">
        <v>12</v>
      </c>
      <c r="EH71" s="100" t="s">
        <v>104</v>
      </c>
      <c r="EI71" s="101">
        <v>98</v>
      </c>
      <c r="EK71" s="100" t="s">
        <v>104</v>
      </c>
      <c r="EL71" s="101">
        <v>29</v>
      </c>
      <c r="EO71" s="100" t="s">
        <v>104</v>
      </c>
      <c r="EP71" s="101">
        <v>4</v>
      </c>
      <c r="ES71" s="100" t="s">
        <v>104</v>
      </c>
      <c r="ET71" s="101">
        <v>0.9</v>
      </c>
      <c r="FA71" s="100" t="s">
        <v>306</v>
      </c>
      <c r="FB71" s="101">
        <v>53</v>
      </c>
    </row>
    <row r="72" spans="7:158" x14ac:dyDescent="0.25">
      <c r="G72" s="100" t="s">
        <v>105</v>
      </c>
      <c r="H72" s="101">
        <v>19</v>
      </c>
      <c r="J72" s="8"/>
      <c r="K72" s="9"/>
      <c r="L72" s="22"/>
      <c r="M72" s="8"/>
      <c r="N72" s="8"/>
      <c r="O72" s="102" t="s">
        <v>105</v>
      </c>
      <c r="P72" s="101">
        <v>7</v>
      </c>
      <c r="Q72" s="8"/>
      <c r="R72" s="8"/>
      <c r="S72" s="100" t="s">
        <v>105</v>
      </c>
      <c r="T72" s="101">
        <v>51</v>
      </c>
      <c r="W72" s="100" t="s">
        <v>105</v>
      </c>
      <c r="X72" s="101">
        <v>23</v>
      </c>
      <c r="AA72" s="100" t="s">
        <v>105</v>
      </c>
      <c r="AB72" s="101">
        <v>24</v>
      </c>
      <c r="AI72" s="9"/>
      <c r="AJ72" s="22"/>
      <c r="AM72" s="9"/>
      <c r="AN72" s="22"/>
      <c r="AQ72" s="100" t="s">
        <v>105</v>
      </c>
      <c r="AR72" s="101">
        <v>37</v>
      </c>
      <c r="AU72" s="9"/>
      <c r="AV72" s="22"/>
      <c r="AY72" s="100" t="s">
        <v>105</v>
      </c>
      <c r="AZ72" s="101">
        <v>34</v>
      </c>
      <c r="BC72" s="100" t="s">
        <v>105</v>
      </c>
      <c r="BD72" s="101">
        <v>51</v>
      </c>
      <c r="BF72" s="100" t="s">
        <v>105</v>
      </c>
      <c r="BG72" s="101">
        <v>32</v>
      </c>
      <c r="BJ72" s="100" t="s">
        <v>105</v>
      </c>
      <c r="BK72" s="101">
        <v>46</v>
      </c>
      <c r="BN72" s="9"/>
      <c r="BO72" s="22"/>
      <c r="BR72" s="9"/>
      <c r="BS72" s="22"/>
      <c r="BV72" s="9"/>
      <c r="BW72" s="22"/>
      <c r="BZ72" s="9"/>
      <c r="CA72" s="22"/>
      <c r="CD72" s="100" t="s">
        <v>105</v>
      </c>
      <c r="CE72" s="101">
        <v>12</v>
      </c>
      <c r="CH72" s="100" t="s">
        <v>105</v>
      </c>
      <c r="CI72" s="101">
        <v>22</v>
      </c>
      <c r="CL72" s="100" t="s">
        <v>105</v>
      </c>
      <c r="CM72" s="101">
        <v>42</v>
      </c>
      <c r="CP72" s="9"/>
      <c r="CQ72" s="22"/>
      <c r="CT72" s="100" t="s">
        <v>105</v>
      </c>
      <c r="CU72" s="101">
        <v>62</v>
      </c>
      <c r="CX72" s="9"/>
      <c r="CY72" s="22"/>
      <c r="DB72" s="100" t="s">
        <v>105</v>
      </c>
      <c r="DC72" s="101">
        <v>37</v>
      </c>
      <c r="DF72" s="100" t="s">
        <v>105</v>
      </c>
      <c r="DG72" s="101">
        <v>29</v>
      </c>
      <c r="DJ72" s="100" t="s">
        <v>105</v>
      </c>
      <c r="DK72" s="101">
        <v>48</v>
      </c>
      <c r="DN72" s="100" t="s">
        <v>105</v>
      </c>
      <c r="DO72" s="101">
        <v>21</v>
      </c>
      <c r="DR72" s="100" t="s">
        <v>105</v>
      </c>
      <c r="DS72" s="101">
        <v>47</v>
      </c>
      <c r="DV72" s="100" t="s">
        <v>105</v>
      </c>
      <c r="DW72" s="101">
        <v>35</v>
      </c>
      <c r="DZ72" s="100" t="s">
        <v>105</v>
      </c>
      <c r="EA72" s="101">
        <v>53</v>
      </c>
      <c r="ED72" s="100" t="s">
        <v>105</v>
      </c>
      <c r="EE72" s="101">
        <v>12</v>
      </c>
      <c r="EH72" s="100" t="s">
        <v>105</v>
      </c>
      <c r="EI72" s="101">
        <v>79</v>
      </c>
      <c r="EK72" s="100" t="s">
        <v>105</v>
      </c>
      <c r="EL72" s="101">
        <v>27</v>
      </c>
      <c r="EO72" s="100" t="s">
        <v>105</v>
      </c>
      <c r="EP72" s="101">
        <v>3</v>
      </c>
      <c r="ES72" s="100" t="s">
        <v>105</v>
      </c>
      <c r="ET72" s="101">
        <v>0.8</v>
      </c>
      <c r="FA72" s="100" t="s">
        <v>307</v>
      </c>
      <c r="FB72" s="101">
        <v>51</v>
      </c>
    </row>
    <row r="73" spans="7:158" x14ac:dyDescent="0.25">
      <c r="G73" s="100" t="s">
        <v>106</v>
      </c>
      <c r="H73" s="101">
        <v>20</v>
      </c>
      <c r="J73" s="8"/>
      <c r="K73" s="9"/>
      <c r="L73" s="22"/>
      <c r="M73" s="8"/>
      <c r="N73" s="8"/>
      <c r="O73" s="102" t="s">
        <v>106</v>
      </c>
      <c r="P73" s="101">
        <v>7</v>
      </c>
      <c r="Q73" s="8"/>
      <c r="R73" s="8"/>
      <c r="S73" s="100" t="s">
        <v>106</v>
      </c>
      <c r="T73" s="101">
        <v>51</v>
      </c>
      <c r="W73" s="100" t="s">
        <v>106</v>
      </c>
      <c r="X73" s="101">
        <v>24</v>
      </c>
      <c r="AA73" s="100" t="s">
        <v>106</v>
      </c>
      <c r="AB73" s="101">
        <v>24</v>
      </c>
      <c r="AI73" s="9"/>
      <c r="AJ73" s="22"/>
      <c r="AM73" s="9"/>
      <c r="AN73" s="22"/>
      <c r="AQ73" s="100" t="s">
        <v>106</v>
      </c>
      <c r="AR73" s="101">
        <v>32</v>
      </c>
      <c r="AU73" s="9"/>
      <c r="AV73" s="22"/>
      <c r="AY73" s="100" t="s">
        <v>106</v>
      </c>
      <c r="AZ73" s="101">
        <v>37</v>
      </c>
      <c r="BC73" s="100" t="s">
        <v>106</v>
      </c>
      <c r="BD73" s="101">
        <v>57</v>
      </c>
      <c r="BF73" s="100" t="s">
        <v>106</v>
      </c>
      <c r="BG73" s="101">
        <v>30</v>
      </c>
      <c r="BJ73" s="100" t="s">
        <v>106</v>
      </c>
      <c r="BK73" s="101">
        <v>51</v>
      </c>
      <c r="BN73" s="9"/>
      <c r="BO73" s="22"/>
      <c r="BR73" s="9"/>
      <c r="BS73" s="22"/>
      <c r="BV73" s="9"/>
      <c r="BW73" s="22"/>
      <c r="BZ73" s="9"/>
      <c r="CA73" s="22"/>
      <c r="CD73" s="100" t="s">
        <v>106</v>
      </c>
      <c r="CE73" s="101">
        <v>12</v>
      </c>
      <c r="CH73" s="100" t="s">
        <v>106</v>
      </c>
      <c r="CI73" s="101">
        <v>23</v>
      </c>
      <c r="CL73" s="100" t="s">
        <v>106</v>
      </c>
      <c r="CM73" s="101">
        <v>42</v>
      </c>
      <c r="CP73" s="9"/>
      <c r="CQ73" s="22"/>
      <c r="CT73" s="100" t="s">
        <v>106</v>
      </c>
      <c r="CU73" s="101">
        <v>54</v>
      </c>
      <c r="CX73" s="9"/>
      <c r="CY73" s="22"/>
      <c r="DB73" s="100" t="s">
        <v>106</v>
      </c>
      <c r="DC73" s="101">
        <v>43</v>
      </c>
      <c r="DF73" s="100" t="s">
        <v>106</v>
      </c>
      <c r="DG73" s="101">
        <v>23</v>
      </c>
      <c r="DJ73" s="100" t="s">
        <v>106</v>
      </c>
      <c r="DK73" s="101">
        <v>46</v>
      </c>
      <c r="DN73" s="100" t="s">
        <v>106</v>
      </c>
      <c r="DO73" s="101">
        <v>21</v>
      </c>
      <c r="DR73" s="100" t="s">
        <v>106</v>
      </c>
      <c r="DS73" s="101">
        <v>39</v>
      </c>
      <c r="DV73" s="100" t="s">
        <v>106</v>
      </c>
      <c r="DW73" s="101">
        <v>30</v>
      </c>
      <c r="DZ73" s="100" t="s">
        <v>106</v>
      </c>
      <c r="EA73" s="101">
        <v>41</v>
      </c>
      <c r="ED73" s="100" t="s">
        <v>106</v>
      </c>
      <c r="EE73" s="101">
        <v>12</v>
      </c>
      <c r="EH73" s="100" t="s">
        <v>106</v>
      </c>
      <c r="EI73" s="101">
        <v>68</v>
      </c>
      <c r="EK73" s="100" t="s">
        <v>106</v>
      </c>
      <c r="EL73" s="101">
        <v>30</v>
      </c>
      <c r="EO73" s="100" t="s">
        <v>106</v>
      </c>
      <c r="EP73" s="101">
        <v>3</v>
      </c>
      <c r="ES73" s="100" t="s">
        <v>106</v>
      </c>
      <c r="ET73" s="101">
        <v>0.8</v>
      </c>
      <c r="FA73" s="100" t="s">
        <v>308</v>
      </c>
      <c r="FB73" s="101">
        <v>50</v>
      </c>
    </row>
    <row r="74" spans="7:158" x14ac:dyDescent="0.25">
      <c r="G74" s="100" t="s">
        <v>107</v>
      </c>
      <c r="H74" s="101">
        <v>22</v>
      </c>
      <c r="J74" s="8"/>
      <c r="K74" s="9"/>
      <c r="L74" s="22"/>
      <c r="M74" s="8"/>
      <c r="N74" s="8"/>
      <c r="O74" s="102" t="s">
        <v>107</v>
      </c>
      <c r="P74" s="101">
        <v>8</v>
      </c>
      <c r="Q74" s="8"/>
      <c r="R74" s="8"/>
      <c r="S74" s="100" t="s">
        <v>107</v>
      </c>
      <c r="T74" s="101">
        <v>55</v>
      </c>
      <c r="W74" s="100" t="s">
        <v>107</v>
      </c>
      <c r="X74" s="101">
        <v>24</v>
      </c>
      <c r="AA74" s="100" t="s">
        <v>107</v>
      </c>
      <c r="AB74" s="101">
        <v>26</v>
      </c>
      <c r="AI74" s="9"/>
      <c r="AJ74" s="22"/>
      <c r="AM74" s="9"/>
      <c r="AN74" s="22"/>
      <c r="AQ74" s="100" t="s">
        <v>107</v>
      </c>
      <c r="AR74" s="101">
        <v>42</v>
      </c>
      <c r="AU74" s="9"/>
      <c r="AV74" s="22"/>
      <c r="AY74" s="100" t="s">
        <v>107</v>
      </c>
      <c r="AZ74" s="101">
        <v>38</v>
      </c>
      <c r="BC74" s="100" t="s">
        <v>107</v>
      </c>
      <c r="BD74" s="101">
        <v>59</v>
      </c>
      <c r="BF74" s="100" t="s">
        <v>107</v>
      </c>
      <c r="BG74" s="101">
        <v>38</v>
      </c>
      <c r="BJ74" s="100" t="s">
        <v>107</v>
      </c>
      <c r="BK74" s="101">
        <v>45</v>
      </c>
      <c r="BN74" s="9"/>
      <c r="BO74" s="22"/>
      <c r="BR74" s="9"/>
      <c r="BS74" s="22"/>
      <c r="BV74" s="9"/>
      <c r="BW74" s="22"/>
      <c r="BZ74" s="9"/>
      <c r="CA74" s="22"/>
      <c r="CD74" s="100" t="s">
        <v>107</v>
      </c>
      <c r="CE74" s="101">
        <v>13</v>
      </c>
      <c r="CH74" s="100" t="s">
        <v>107</v>
      </c>
      <c r="CI74" s="101">
        <v>24</v>
      </c>
      <c r="CL74" s="100" t="s">
        <v>107</v>
      </c>
      <c r="CM74" s="101">
        <v>52</v>
      </c>
      <c r="CP74" s="9"/>
      <c r="CQ74" s="22"/>
      <c r="CT74" s="100" t="s">
        <v>107</v>
      </c>
      <c r="CU74" s="101">
        <v>33</v>
      </c>
      <c r="CX74" s="9"/>
      <c r="CY74" s="22"/>
      <c r="DB74" s="100" t="s">
        <v>107</v>
      </c>
      <c r="DC74" s="101">
        <v>39</v>
      </c>
      <c r="DF74" s="100" t="s">
        <v>107</v>
      </c>
      <c r="DG74" s="101">
        <v>25</v>
      </c>
      <c r="DJ74" s="100" t="s">
        <v>107</v>
      </c>
      <c r="DK74" s="101">
        <v>56</v>
      </c>
      <c r="DN74" s="100" t="s">
        <v>107</v>
      </c>
      <c r="DO74" s="101">
        <v>22</v>
      </c>
      <c r="DR74" s="100" t="s">
        <v>107</v>
      </c>
      <c r="DS74" s="101">
        <v>61</v>
      </c>
      <c r="DV74" s="100" t="s">
        <v>107</v>
      </c>
      <c r="DW74" s="101">
        <v>50</v>
      </c>
      <c r="DZ74" s="100" t="s">
        <v>107</v>
      </c>
      <c r="EA74" s="101">
        <v>38</v>
      </c>
      <c r="ED74" s="100" t="s">
        <v>107</v>
      </c>
      <c r="EE74" s="101">
        <v>19</v>
      </c>
      <c r="EH74" s="100" t="s">
        <v>107</v>
      </c>
      <c r="EI74" s="101">
        <v>75</v>
      </c>
      <c r="EK74" s="100" t="s">
        <v>107</v>
      </c>
      <c r="EL74" s="101">
        <v>25</v>
      </c>
      <c r="EO74" s="100" t="s">
        <v>107</v>
      </c>
      <c r="EP74" s="101">
        <v>4</v>
      </c>
      <c r="ES74" s="100" t="s">
        <v>107</v>
      </c>
      <c r="ET74" s="101">
        <v>0.6</v>
      </c>
      <c r="FA74" s="100" t="s">
        <v>309</v>
      </c>
      <c r="FB74" s="101">
        <v>52</v>
      </c>
    </row>
    <row r="75" spans="7:158" x14ac:dyDescent="0.25">
      <c r="G75" s="100" t="s">
        <v>108</v>
      </c>
      <c r="H75" s="101">
        <v>23</v>
      </c>
      <c r="J75" s="8"/>
      <c r="K75" s="9"/>
      <c r="L75" s="22"/>
      <c r="M75" s="8"/>
      <c r="N75" s="8"/>
      <c r="O75" s="102" t="s">
        <v>108</v>
      </c>
      <c r="P75" s="101">
        <v>9</v>
      </c>
      <c r="Q75" s="8"/>
      <c r="R75" s="8"/>
      <c r="S75" s="100" t="s">
        <v>108</v>
      </c>
      <c r="T75" s="101">
        <v>58</v>
      </c>
      <c r="W75" s="100" t="s">
        <v>108</v>
      </c>
      <c r="X75" s="101">
        <v>48</v>
      </c>
      <c r="AA75" s="100" t="s">
        <v>108</v>
      </c>
      <c r="AB75" s="101">
        <v>25</v>
      </c>
      <c r="AI75" s="9"/>
      <c r="AJ75" s="22"/>
      <c r="AM75" s="9"/>
      <c r="AN75" s="22"/>
      <c r="AQ75" s="100" t="s">
        <v>108</v>
      </c>
      <c r="AR75" s="101">
        <v>27</v>
      </c>
      <c r="AU75" s="9"/>
      <c r="AV75" s="22"/>
      <c r="AY75" s="100" t="s">
        <v>108</v>
      </c>
      <c r="AZ75" s="101">
        <v>36</v>
      </c>
      <c r="BC75" s="100" t="s">
        <v>108</v>
      </c>
      <c r="BD75" s="101">
        <v>58</v>
      </c>
      <c r="BF75" s="100" t="s">
        <v>108</v>
      </c>
      <c r="BG75" s="101">
        <v>43</v>
      </c>
      <c r="BJ75" s="100" t="s">
        <v>108</v>
      </c>
      <c r="BK75" s="101">
        <v>63</v>
      </c>
      <c r="BN75" s="9"/>
      <c r="BO75" s="22"/>
      <c r="BR75" s="9"/>
      <c r="BS75" s="22"/>
      <c r="BV75" s="9"/>
      <c r="BW75" s="22"/>
      <c r="BZ75" s="9"/>
      <c r="CA75" s="22"/>
      <c r="CD75" s="100" t="s">
        <v>108</v>
      </c>
      <c r="CE75" s="101">
        <v>48</v>
      </c>
      <c r="CH75" s="100" t="s">
        <v>108</v>
      </c>
      <c r="CI75" s="101">
        <v>29</v>
      </c>
      <c r="CL75" s="100" t="s">
        <v>108</v>
      </c>
      <c r="CM75" s="101">
        <v>50</v>
      </c>
      <c r="CP75" s="9"/>
      <c r="CQ75" s="22"/>
      <c r="CT75" s="100" t="s">
        <v>108</v>
      </c>
      <c r="CU75" s="101">
        <v>41</v>
      </c>
      <c r="CX75" s="9"/>
      <c r="CY75" s="22"/>
      <c r="DB75" s="100" t="s">
        <v>108</v>
      </c>
      <c r="DC75" s="101">
        <v>39</v>
      </c>
      <c r="DF75" s="100" t="s">
        <v>108</v>
      </c>
      <c r="DG75" s="101">
        <v>30</v>
      </c>
      <c r="DJ75" s="100" t="s">
        <v>108</v>
      </c>
      <c r="DK75" s="101">
        <v>58</v>
      </c>
      <c r="DN75" s="100" t="s">
        <v>108</v>
      </c>
      <c r="DO75" s="101">
        <v>26</v>
      </c>
      <c r="DR75" s="100" t="s">
        <v>108</v>
      </c>
      <c r="DS75" s="101">
        <v>49</v>
      </c>
      <c r="DV75" s="100" t="s">
        <v>108</v>
      </c>
      <c r="DW75" s="101">
        <v>43</v>
      </c>
      <c r="DZ75" s="100" t="s">
        <v>108</v>
      </c>
      <c r="EA75" s="101">
        <v>43</v>
      </c>
      <c r="ED75" s="100" t="s">
        <v>108</v>
      </c>
      <c r="EE75" s="101">
        <v>13</v>
      </c>
      <c r="EH75" s="100" t="s">
        <v>108</v>
      </c>
      <c r="EI75" s="101">
        <v>68</v>
      </c>
      <c r="EK75" s="100" t="s">
        <v>108</v>
      </c>
      <c r="EL75" s="101">
        <v>26</v>
      </c>
      <c r="EO75" s="100" t="s">
        <v>108</v>
      </c>
      <c r="EP75" s="101">
        <v>5</v>
      </c>
      <c r="ES75" s="100" t="s">
        <v>108</v>
      </c>
      <c r="ET75" s="101">
        <v>0.7</v>
      </c>
      <c r="FA75" s="100" t="s">
        <v>310</v>
      </c>
      <c r="FB75" s="101">
        <v>55</v>
      </c>
    </row>
    <row r="76" spans="7:158" x14ac:dyDescent="0.25">
      <c r="G76" s="100" t="s">
        <v>109</v>
      </c>
      <c r="H76" s="101">
        <v>25</v>
      </c>
      <c r="J76" s="8"/>
      <c r="K76" s="9"/>
      <c r="L76" s="22"/>
      <c r="M76" s="8"/>
      <c r="N76" s="8"/>
      <c r="O76" s="102" t="s">
        <v>109</v>
      </c>
      <c r="P76" s="101">
        <v>5</v>
      </c>
      <c r="Q76" s="8"/>
      <c r="R76" s="8"/>
      <c r="S76" s="100" t="s">
        <v>109</v>
      </c>
      <c r="T76" s="101">
        <v>54</v>
      </c>
      <c r="W76" s="100" t="s">
        <v>109</v>
      </c>
      <c r="X76" s="101">
        <v>28</v>
      </c>
      <c r="AA76" s="100" t="s">
        <v>109</v>
      </c>
      <c r="AB76" s="101">
        <v>25</v>
      </c>
      <c r="AI76" s="9"/>
      <c r="AJ76" s="22"/>
      <c r="AM76" s="9"/>
      <c r="AN76" s="22"/>
      <c r="AQ76" s="100" t="s">
        <v>109</v>
      </c>
      <c r="AR76" s="101">
        <v>36</v>
      </c>
      <c r="AU76" s="9"/>
      <c r="AV76" s="22"/>
      <c r="AY76" s="100" t="s">
        <v>109</v>
      </c>
      <c r="AZ76" s="101">
        <v>38</v>
      </c>
      <c r="BC76" s="100" t="s">
        <v>109</v>
      </c>
      <c r="BD76" s="101">
        <v>59</v>
      </c>
      <c r="BF76" s="100" t="s">
        <v>109</v>
      </c>
      <c r="BG76" s="101">
        <v>39</v>
      </c>
      <c r="BJ76" s="100" t="s">
        <v>109</v>
      </c>
      <c r="BK76" s="101">
        <v>55</v>
      </c>
      <c r="BN76" s="9"/>
      <c r="BO76" s="22"/>
      <c r="BR76" s="9"/>
      <c r="BS76" s="22"/>
      <c r="BV76" s="9"/>
      <c r="BW76" s="22"/>
      <c r="BZ76" s="9"/>
      <c r="CA76" s="22"/>
      <c r="CD76" s="100" t="s">
        <v>109</v>
      </c>
      <c r="CE76" s="101">
        <v>29</v>
      </c>
      <c r="CH76" s="100" t="s">
        <v>109</v>
      </c>
      <c r="CI76" s="101">
        <v>31</v>
      </c>
      <c r="CL76" s="100" t="s">
        <v>109</v>
      </c>
      <c r="CM76" s="101">
        <v>52</v>
      </c>
      <c r="CP76" s="9"/>
      <c r="CQ76" s="22"/>
      <c r="CT76" s="100" t="s">
        <v>109</v>
      </c>
      <c r="CU76" s="101">
        <v>38</v>
      </c>
      <c r="CX76" s="9"/>
      <c r="CY76" s="22"/>
      <c r="DB76" s="100" t="s">
        <v>109</v>
      </c>
      <c r="DC76" s="101">
        <v>57</v>
      </c>
      <c r="DF76" s="100" t="s">
        <v>109</v>
      </c>
      <c r="DG76" s="101">
        <v>26</v>
      </c>
      <c r="DJ76" s="100" t="s">
        <v>109</v>
      </c>
      <c r="DK76" s="101">
        <v>60</v>
      </c>
      <c r="DN76" s="100" t="s">
        <v>109</v>
      </c>
      <c r="DO76" s="101">
        <v>25</v>
      </c>
      <c r="DR76" s="100" t="s">
        <v>109</v>
      </c>
      <c r="DS76" s="101">
        <v>48</v>
      </c>
      <c r="DV76" s="100" t="s">
        <v>109</v>
      </c>
      <c r="DW76" s="101">
        <v>41</v>
      </c>
      <c r="DZ76" s="100" t="s">
        <v>109</v>
      </c>
      <c r="EA76" s="101">
        <v>36</v>
      </c>
      <c r="ED76" s="100" t="s">
        <v>109</v>
      </c>
      <c r="EE76" s="101">
        <v>14</v>
      </c>
      <c r="EH76" s="100" t="s">
        <v>109</v>
      </c>
      <c r="EI76" s="101">
        <v>70</v>
      </c>
      <c r="EK76" s="100" t="s">
        <v>109</v>
      </c>
      <c r="EL76" s="101">
        <v>26</v>
      </c>
      <c r="EO76" s="100" t="s">
        <v>109</v>
      </c>
      <c r="EP76" s="101">
        <v>5</v>
      </c>
      <c r="ES76" s="100" t="s">
        <v>109</v>
      </c>
      <c r="ET76" s="101">
        <v>0.9</v>
      </c>
      <c r="FA76" s="100" t="s">
        <v>311</v>
      </c>
      <c r="FB76" s="101">
        <v>51</v>
      </c>
    </row>
    <row r="77" spans="7:158" x14ac:dyDescent="0.25">
      <c r="G77" s="100" t="s">
        <v>110</v>
      </c>
      <c r="H77" s="101">
        <v>25</v>
      </c>
      <c r="J77" s="8"/>
      <c r="K77" s="9"/>
      <c r="L77" s="22"/>
      <c r="M77" s="8"/>
      <c r="N77" s="8"/>
      <c r="O77" s="102" t="s">
        <v>110</v>
      </c>
      <c r="P77" s="101">
        <v>6</v>
      </c>
      <c r="Q77" s="8"/>
      <c r="R77" s="8"/>
      <c r="S77" s="100" t="s">
        <v>110</v>
      </c>
      <c r="T77" s="101">
        <v>58</v>
      </c>
      <c r="W77" s="100" t="s">
        <v>110</v>
      </c>
      <c r="X77" s="101">
        <v>27</v>
      </c>
      <c r="AA77" s="100" t="s">
        <v>110</v>
      </c>
      <c r="AB77" s="101">
        <v>22</v>
      </c>
      <c r="AI77" s="9"/>
      <c r="AJ77" s="22"/>
      <c r="AM77" s="9"/>
      <c r="AN77" s="22"/>
      <c r="AQ77" s="100" t="s">
        <v>110</v>
      </c>
      <c r="AR77" s="101">
        <v>44</v>
      </c>
      <c r="AU77" s="9"/>
      <c r="AV77" s="22"/>
      <c r="AY77" s="100" t="s">
        <v>110</v>
      </c>
      <c r="AZ77" s="101">
        <v>41</v>
      </c>
      <c r="BC77" s="100" t="s">
        <v>110</v>
      </c>
      <c r="BD77" s="101">
        <v>58</v>
      </c>
      <c r="BF77" s="100" t="s">
        <v>110</v>
      </c>
      <c r="BG77" s="101">
        <v>37</v>
      </c>
      <c r="BJ77" s="100" t="s">
        <v>110</v>
      </c>
      <c r="BK77" s="101">
        <v>67</v>
      </c>
      <c r="BN77" s="9"/>
      <c r="BO77" s="22"/>
      <c r="BR77" s="9"/>
      <c r="BS77" s="22"/>
      <c r="BV77" s="9"/>
      <c r="BW77" s="22"/>
      <c r="BZ77" s="9"/>
      <c r="CA77" s="22"/>
      <c r="CD77" s="100" t="s">
        <v>110</v>
      </c>
      <c r="CE77" s="101">
        <v>21</v>
      </c>
      <c r="CH77" s="100" t="s">
        <v>110</v>
      </c>
      <c r="CI77" s="101">
        <v>32</v>
      </c>
      <c r="CL77" s="100" t="s">
        <v>110</v>
      </c>
      <c r="CM77" s="101">
        <v>53</v>
      </c>
      <c r="CP77" s="9"/>
      <c r="CQ77" s="22"/>
      <c r="CT77" s="100" t="s">
        <v>110</v>
      </c>
      <c r="CU77" s="101">
        <v>31</v>
      </c>
      <c r="CX77" s="9"/>
      <c r="CY77" s="22"/>
      <c r="DB77" s="100" t="s">
        <v>110</v>
      </c>
      <c r="DC77" s="101">
        <v>51</v>
      </c>
      <c r="DF77" s="100" t="s">
        <v>110</v>
      </c>
      <c r="DG77" s="101">
        <v>31</v>
      </c>
      <c r="DJ77" s="100" t="s">
        <v>110</v>
      </c>
      <c r="DK77" s="101">
        <v>58</v>
      </c>
      <c r="DN77" s="100" t="s">
        <v>110</v>
      </c>
      <c r="DO77" s="101">
        <v>21</v>
      </c>
      <c r="DR77" s="100" t="s">
        <v>110</v>
      </c>
      <c r="DS77" s="101">
        <v>46</v>
      </c>
      <c r="DV77" s="100" t="s">
        <v>110</v>
      </c>
      <c r="DW77" s="101">
        <v>31</v>
      </c>
      <c r="DZ77" s="100" t="s">
        <v>110</v>
      </c>
      <c r="EA77" s="101">
        <v>34</v>
      </c>
      <c r="ED77" s="100" t="s">
        <v>110</v>
      </c>
      <c r="EE77" s="101">
        <v>12</v>
      </c>
      <c r="EH77" s="100" t="s">
        <v>110</v>
      </c>
      <c r="EI77" s="101">
        <v>67</v>
      </c>
      <c r="EK77" s="100" t="s">
        <v>110</v>
      </c>
      <c r="EL77" s="101">
        <v>25</v>
      </c>
      <c r="EO77" s="100" t="s">
        <v>110</v>
      </c>
      <c r="EP77" s="101">
        <v>5</v>
      </c>
      <c r="ES77" s="100" t="s">
        <v>110</v>
      </c>
      <c r="ET77" s="101">
        <v>0.11</v>
      </c>
      <c r="FA77" s="100" t="s">
        <v>312</v>
      </c>
      <c r="FB77" s="101">
        <v>56</v>
      </c>
    </row>
    <row r="78" spans="7:158" x14ac:dyDescent="0.25">
      <c r="G78" s="100" t="s">
        <v>111</v>
      </c>
      <c r="H78" s="101">
        <v>24</v>
      </c>
      <c r="J78" s="8"/>
      <c r="K78" s="9"/>
      <c r="L78" s="22"/>
      <c r="M78" s="8"/>
      <c r="N78" s="8"/>
      <c r="O78" s="102" t="s">
        <v>111</v>
      </c>
      <c r="P78" s="101">
        <v>9</v>
      </c>
      <c r="Q78" s="8"/>
      <c r="R78" s="8"/>
      <c r="S78" s="100" t="s">
        <v>111</v>
      </c>
      <c r="T78" s="101">
        <v>57</v>
      </c>
      <c r="W78" s="100" t="s">
        <v>111</v>
      </c>
      <c r="X78" s="101">
        <v>25</v>
      </c>
      <c r="AA78" s="100" t="s">
        <v>111</v>
      </c>
      <c r="AB78" s="101">
        <v>22</v>
      </c>
      <c r="AI78" s="9"/>
      <c r="AJ78" s="22"/>
      <c r="AM78" s="9"/>
      <c r="AN78" s="22"/>
      <c r="AQ78" s="100" t="s">
        <v>111</v>
      </c>
      <c r="AR78" s="101">
        <v>29</v>
      </c>
      <c r="AU78" s="9"/>
      <c r="AV78" s="22"/>
      <c r="AY78" s="100" t="s">
        <v>111</v>
      </c>
      <c r="AZ78" s="101">
        <v>40</v>
      </c>
      <c r="BC78" s="100" t="s">
        <v>111</v>
      </c>
      <c r="BD78" s="101">
        <v>51</v>
      </c>
      <c r="BF78" s="100" t="s">
        <v>111</v>
      </c>
      <c r="BG78" s="101">
        <v>37</v>
      </c>
      <c r="BJ78" s="100" t="s">
        <v>111</v>
      </c>
      <c r="BK78" s="101">
        <v>45</v>
      </c>
      <c r="BN78" s="9"/>
      <c r="BO78" s="22"/>
      <c r="BR78" s="9"/>
      <c r="BS78" s="22"/>
      <c r="BV78" s="9"/>
      <c r="BW78" s="22"/>
      <c r="BZ78" s="9"/>
      <c r="CA78" s="22"/>
      <c r="CD78" s="100" t="s">
        <v>111</v>
      </c>
      <c r="CE78" s="101">
        <v>18</v>
      </c>
      <c r="CH78" s="100" t="s">
        <v>111</v>
      </c>
      <c r="CI78" s="101">
        <v>32</v>
      </c>
      <c r="CL78" s="100" t="s">
        <v>111</v>
      </c>
      <c r="CM78" s="101">
        <v>49</v>
      </c>
      <c r="CP78" s="9"/>
      <c r="CQ78" s="22"/>
      <c r="CT78" s="100" t="s">
        <v>111</v>
      </c>
      <c r="CU78" s="101">
        <v>36</v>
      </c>
      <c r="CX78" s="9"/>
      <c r="CY78" s="22"/>
      <c r="DB78" s="100" t="s">
        <v>111</v>
      </c>
      <c r="DC78" s="101">
        <v>36</v>
      </c>
      <c r="DF78" s="100" t="s">
        <v>111</v>
      </c>
      <c r="DG78" s="101">
        <v>29</v>
      </c>
      <c r="DJ78" s="100" t="s">
        <v>111</v>
      </c>
      <c r="DK78" s="101">
        <v>57</v>
      </c>
      <c r="DN78" s="100" t="s">
        <v>111</v>
      </c>
      <c r="DO78" s="101">
        <v>21</v>
      </c>
      <c r="DR78" s="100" t="s">
        <v>111</v>
      </c>
      <c r="DS78" s="101">
        <v>46</v>
      </c>
      <c r="DV78" s="100" t="s">
        <v>111</v>
      </c>
      <c r="DW78" s="101">
        <v>26</v>
      </c>
      <c r="DZ78" s="100" t="s">
        <v>111</v>
      </c>
      <c r="EA78" s="101">
        <v>50</v>
      </c>
      <c r="ED78" s="100" t="s">
        <v>111</v>
      </c>
      <c r="EE78" s="101">
        <v>12</v>
      </c>
      <c r="EH78" s="100" t="s">
        <v>111</v>
      </c>
      <c r="EI78" s="101">
        <v>70</v>
      </c>
      <c r="EK78" s="100" t="s">
        <v>111</v>
      </c>
      <c r="EL78" s="101">
        <v>25</v>
      </c>
      <c r="EO78" s="100" t="s">
        <v>111</v>
      </c>
      <c r="EP78" s="101">
        <v>3</v>
      </c>
      <c r="ES78" s="100" t="s">
        <v>111</v>
      </c>
      <c r="ET78" s="101">
        <v>0.8</v>
      </c>
      <c r="FA78" s="100" t="s">
        <v>313</v>
      </c>
      <c r="FB78" s="101">
        <v>52</v>
      </c>
    </row>
    <row r="79" spans="7:158" x14ac:dyDescent="0.25">
      <c r="G79" s="100" t="s">
        <v>112</v>
      </c>
      <c r="H79" s="101">
        <v>25</v>
      </c>
      <c r="J79" s="8"/>
      <c r="K79" s="9"/>
      <c r="L79" s="22"/>
      <c r="M79" s="8"/>
      <c r="N79" s="8"/>
      <c r="O79" s="102" t="s">
        <v>112</v>
      </c>
      <c r="P79" s="101">
        <v>5</v>
      </c>
      <c r="Q79" s="8"/>
      <c r="R79" s="8"/>
      <c r="S79" s="100" t="s">
        <v>112</v>
      </c>
      <c r="T79" s="101">
        <v>59</v>
      </c>
      <c r="W79" s="100" t="s">
        <v>112</v>
      </c>
      <c r="X79" s="101">
        <v>26</v>
      </c>
      <c r="AA79" s="100" t="s">
        <v>112</v>
      </c>
      <c r="AB79" s="101">
        <v>22</v>
      </c>
      <c r="AI79" s="9"/>
      <c r="AJ79" s="22"/>
      <c r="AM79" s="9"/>
      <c r="AN79" s="22"/>
      <c r="AQ79" s="100" t="s">
        <v>112</v>
      </c>
      <c r="AR79" s="101">
        <v>41</v>
      </c>
      <c r="AU79" s="9"/>
      <c r="AV79" s="22"/>
      <c r="AY79" s="100" t="s">
        <v>112</v>
      </c>
      <c r="AZ79" s="101">
        <v>40</v>
      </c>
      <c r="BC79" s="100" t="s">
        <v>112</v>
      </c>
      <c r="BD79" s="101">
        <v>55</v>
      </c>
      <c r="BF79" s="100" t="s">
        <v>112</v>
      </c>
      <c r="BG79" s="101">
        <v>35</v>
      </c>
      <c r="BJ79" s="100" t="s">
        <v>112</v>
      </c>
      <c r="BK79" s="101">
        <v>49</v>
      </c>
      <c r="BN79" s="9"/>
      <c r="BO79" s="22"/>
      <c r="BR79" s="9"/>
      <c r="BS79" s="22"/>
      <c r="BV79" s="9"/>
      <c r="BW79" s="22"/>
      <c r="BZ79" s="9"/>
      <c r="CA79" s="22"/>
      <c r="CD79" s="100" t="s">
        <v>112</v>
      </c>
      <c r="CE79" s="101">
        <v>17</v>
      </c>
      <c r="CH79" s="100" t="s">
        <v>112</v>
      </c>
      <c r="CI79" s="101">
        <v>26</v>
      </c>
      <c r="CL79" s="100" t="s">
        <v>112</v>
      </c>
      <c r="CM79" s="101">
        <v>46</v>
      </c>
      <c r="CP79" s="9"/>
      <c r="CQ79" s="22"/>
      <c r="CT79" s="100" t="s">
        <v>112</v>
      </c>
      <c r="CU79" s="101">
        <v>34</v>
      </c>
      <c r="CX79" s="9"/>
      <c r="CY79" s="22"/>
      <c r="DB79" s="100" t="s">
        <v>112</v>
      </c>
      <c r="DC79" s="101">
        <v>32</v>
      </c>
      <c r="DF79" s="100" t="s">
        <v>112</v>
      </c>
      <c r="DG79" s="101">
        <v>26</v>
      </c>
      <c r="DJ79" s="100" t="s">
        <v>112</v>
      </c>
      <c r="DK79" s="101">
        <v>57</v>
      </c>
      <c r="DN79" s="100" t="s">
        <v>112</v>
      </c>
      <c r="DO79" s="101">
        <v>22</v>
      </c>
      <c r="DR79" s="100" t="s">
        <v>112</v>
      </c>
      <c r="DS79" s="101">
        <v>64</v>
      </c>
      <c r="DV79" s="100" t="s">
        <v>112</v>
      </c>
      <c r="DW79" s="101">
        <v>39</v>
      </c>
      <c r="DZ79" s="100" t="s">
        <v>112</v>
      </c>
      <c r="EA79" s="101">
        <v>48</v>
      </c>
      <c r="ED79" s="100" t="s">
        <v>112</v>
      </c>
      <c r="EE79" s="101">
        <v>13</v>
      </c>
      <c r="EH79" s="100" t="s">
        <v>112</v>
      </c>
      <c r="EI79" s="101">
        <v>78</v>
      </c>
      <c r="EK79" s="100" t="s">
        <v>112</v>
      </c>
      <c r="EL79" s="101">
        <v>33</v>
      </c>
      <c r="EO79" s="100" t="s">
        <v>112</v>
      </c>
      <c r="EP79" s="101">
        <v>3</v>
      </c>
      <c r="ES79" s="100" t="s">
        <v>112</v>
      </c>
      <c r="ET79" s="101">
        <v>0.8</v>
      </c>
      <c r="FA79" s="100" t="s">
        <v>314</v>
      </c>
      <c r="FB79" s="101">
        <v>53</v>
      </c>
    </row>
    <row r="80" spans="7:158" x14ac:dyDescent="0.25">
      <c r="G80" s="100" t="s">
        <v>113</v>
      </c>
      <c r="H80" s="101">
        <v>22</v>
      </c>
      <c r="J80" s="8"/>
      <c r="K80" s="9"/>
      <c r="L80" s="22"/>
      <c r="M80" s="8"/>
      <c r="N80" s="8"/>
      <c r="O80" s="102" t="s">
        <v>113</v>
      </c>
      <c r="P80" s="101">
        <v>6</v>
      </c>
      <c r="Q80" s="8"/>
      <c r="R80" s="8"/>
      <c r="S80" s="100" t="s">
        <v>113</v>
      </c>
      <c r="T80" s="101">
        <v>53</v>
      </c>
      <c r="W80" s="100" t="s">
        <v>113</v>
      </c>
      <c r="X80" s="101">
        <v>23</v>
      </c>
      <c r="AA80" s="100" t="s">
        <v>113</v>
      </c>
      <c r="AB80" s="101">
        <v>25</v>
      </c>
      <c r="AI80" s="9"/>
      <c r="AJ80" s="22"/>
      <c r="AM80" s="9"/>
      <c r="AN80" s="22"/>
      <c r="AQ80" s="100" t="s">
        <v>113</v>
      </c>
      <c r="AR80" s="101">
        <v>21</v>
      </c>
      <c r="AU80" s="9"/>
      <c r="AV80" s="22"/>
      <c r="AY80" s="100" t="s">
        <v>113</v>
      </c>
      <c r="AZ80" s="101">
        <v>35</v>
      </c>
      <c r="BC80" s="100" t="s">
        <v>113</v>
      </c>
      <c r="BD80" s="101">
        <v>51</v>
      </c>
      <c r="BF80" s="100" t="s">
        <v>113</v>
      </c>
      <c r="BG80" s="101">
        <v>30</v>
      </c>
      <c r="BJ80" s="100" t="s">
        <v>113</v>
      </c>
      <c r="BK80" s="101">
        <v>38</v>
      </c>
      <c r="BN80" s="9"/>
      <c r="BO80" s="22"/>
      <c r="BR80" s="9"/>
      <c r="BS80" s="22"/>
      <c r="BV80" s="9"/>
      <c r="BW80" s="22"/>
      <c r="BZ80" s="9"/>
      <c r="CA80" s="22"/>
      <c r="CD80" s="100" t="s">
        <v>113</v>
      </c>
      <c r="CE80" s="101">
        <v>23</v>
      </c>
      <c r="CH80" s="100" t="s">
        <v>113</v>
      </c>
      <c r="CI80" s="101">
        <v>25</v>
      </c>
      <c r="CL80" s="100" t="s">
        <v>113</v>
      </c>
      <c r="CM80" s="101">
        <v>45</v>
      </c>
      <c r="CP80" s="9"/>
      <c r="CQ80" s="22"/>
      <c r="CT80" s="100" t="s">
        <v>113</v>
      </c>
      <c r="CU80" s="101">
        <v>37</v>
      </c>
      <c r="CX80" s="9"/>
      <c r="CY80" s="22"/>
      <c r="DB80" s="100" t="s">
        <v>113</v>
      </c>
      <c r="DC80" s="101">
        <v>34</v>
      </c>
      <c r="DF80" s="100" t="s">
        <v>113</v>
      </c>
      <c r="DG80" s="101">
        <v>22</v>
      </c>
      <c r="DJ80" s="100" t="s">
        <v>113</v>
      </c>
      <c r="DK80" s="101">
        <v>51</v>
      </c>
      <c r="DN80" s="100" t="s">
        <v>113</v>
      </c>
      <c r="DO80" s="101">
        <v>21</v>
      </c>
      <c r="DR80" s="100" t="s">
        <v>113</v>
      </c>
      <c r="DS80" s="101">
        <v>48</v>
      </c>
      <c r="DV80" s="100" t="s">
        <v>113</v>
      </c>
      <c r="DW80" s="101">
        <v>41</v>
      </c>
      <c r="DZ80" s="100" t="s">
        <v>113</v>
      </c>
      <c r="EA80" s="101">
        <v>43</v>
      </c>
      <c r="ED80" s="100" t="s">
        <v>113</v>
      </c>
      <c r="EE80" s="101">
        <v>12</v>
      </c>
      <c r="EH80" s="100" t="s">
        <v>113</v>
      </c>
      <c r="EI80" s="101">
        <v>75</v>
      </c>
      <c r="EK80" s="100" t="s">
        <v>113</v>
      </c>
      <c r="EL80" s="101">
        <v>22</v>
      </c>
      <c r="EO80" s="100" t="s">
        <v>113</v>
      </c>
      <c r="EP80" s="101">
        <v>3</v>
      </c>
      <c r="ES80" s="100" t="s">
        <v>113</v>
      </c>
      <c r="ET80" s="101">
        <v>0.8</v>
      </c>
      <c r="FA80" s="100" t="s">
        <v>315</v>
      </c>
      <c r="FB80" s="101">
        <v>50</v>
      </c>
    </row>
    <row r="81" spans="7:158" x14ac:dyDescent="0.25">
      <c r="G81" s="100" t="s">
        <v>114</v>
      </c>
      <c r="H81" s="101">
        <v>18</v>
      </c>
      <c r="J81" s="8"/>
      <c r="K81" s="9"/>
      <c r="L81" s="22"/>
      <c r="M81" s="8"/>
      <c r="N81" s="8"/>
      <c r="O81" s="102" t="s">
        <v>114</v>
      </c>
      <c r="P81" s="101">
        <v>6</v>
      </c>
      <c r="Q81" s="8"/>
      <c r="R81" s="8"/>
      <c r="S81" s="100" t="s">
        <v>114</v>
      </c>
      <c r="T81" s="101">
        <v>49</v>
      </c>
      <c r="W81" s="100" t="s">
        <v>114</v>
      </c>
      <c r="X81" s="101">
        <v>21</v>
      </c>
      <c r="AA81" s="100" t="s">
        <v>114</v>
      </c>
      <c r="AB81" s="101">
        <v>21</v>
      </c>
      <c r="AI81" s="9"/>
      <c r="AJ81" s="22"/>
      <c r="AM81" s="9"/>
      <c r="AN81" s="22"/>
      <c r="AQ81" s="100" t="s">
        <v>114</v>
      </c>
      <c r="AR81" s="101">
        <v>38</v>
      </c>
      <c r="AU81" s="9"/>
      <c r="AV81" s="22"/>
      <c r="AY81" s="100" t="s">
        <v>114</v>
      </c>
      <c r="AZ81" s="101">
        <v>34</v>
      </c>
      <c r="BC81" s="100" t="s">
        <v>114</v>
      </c>
      <c r="BD81" s="101">
        <v>53</v>
      </c>
      <c r="BF81" s="100" t="s">
        <v>114</v>
      </c>
      <c r="BG81" s="101">
        <v>30</v>
      </c>
      <c r="BJ81" s="100" t="s">
        <v>114</v>
      </c>
      <c r="BK81" s="101">
        <v>50</v>
      </c>
      <c r="BN81" s="9"/>
      <c r="BO81" s="22"/>
      <c r="BR81" s="9"/>
      <c r="BS81" s="22"/>
      <c r="BV81" s="9"/>
      <c r="BW81" s="22"/>
      <c r="BZ81" s="9"/>
      <c r="CA81" s="22"/>
      <c r="CD81" s="100" t="s">
        <v>114</v>
      </c>
      <c r="CE81" s="101">
        <v>15</v>
      </c>
      <c r="CH81" s="100" t="s">
        <v>114</v>
      </c>
      <c r="CI81" s="101">
        <v>19</v>
      </c>
      <c r="CL81" s="100" t="s">
        <v>114</v>
      </c>
      <c r="CM81" s="101">
        <v>36</v>
      </c>
      <c r="CP81" s="9"/>
      <c r="CQ81" s="22"/>
      <c r="CT81" s="100" t="s">
        <v>114</v>
      </c>
      <c r="CU81" s="101">
        <v>31</v>
      </c>
      <c r="CX81" s="9"/>
      <c r="CY81" s="22"/>
      <c r="DB81" s="100" t="s">
        <v>114</v>
      </c>
      <c r="DC81" s="101">
        <v>39</v>
      </c>
      <c r="DF81" s="100" t="s">
        <v>114</v>
      </c>
      <c r="DG81" s="101">
        <v>19</v>
      </c>
      <c r="DJ81" s="100" t="s">
        <v>114</v>
      </c>
      <c r="DK81" s="101">
        <v>48</v>
      </c>
      <c r="DN81" s="100" t="s">
        <v>114</v>
      </c>
      <c r="DO81" s="101">
        <v>16</v>
      </c>
      <c r="DR81" s="100" t="s">
        <v>114</v>
      </c>
      <c r="DS81" s="101">
        <v>49</v>
      </c>
      <c r="DV81" s="100" t="s">
        <v>114</v>
      </c>
      <c r="DW81" s="101">
        <v>45</v>
      </c>
      <c r="DZ81" s="100" t="s">
        <v>114</v>
      </c>
      <c r="EA81" s="101">
        <v>37</v>
      </c>
      <c r="ED81" s="100" t="s">
        <v>114</v>
      </c>
      <c r="EE81" s="101">
        <v>11</v>
      </c>
      <c r="EH81" s="100" t="s">
        <v>114</v>
      </c>
      <c r="EI81" s="101">
        <v>66</v>
      </c>
      <c r="EK81" s="100" t="s">
        <v>114</v>
      </c>
      <c r="EL81" s="101">
        <v>26</v>
      </c>
      <c r="EO81" s="100" t="s">
        <v>114</v>
      </c>
      <c r="EP81" s="101">
        <v>3</v>
      </c>
      <c r="ES81" s="100" t="s">
        <v>114</v>
      </c>
      <c r="ET81" s="101">
        <v>0.7</v>
      </c>
      <c r="FA81" s="100" t="s">
        <v>316</v>
      </c>
      <c r="FB81" s="101">
        <v>50</v>
      </c>
    </row>
    <row r="82" spans="7:158" x14ac:dyDescent="0.25">
      <c r="G82" s="100" t="s">
        <v>115</v>
      </c>
      <c r="H82" s="101">
        <v>18</v>
      </c>
      <c r="J82" s="8"/>
      <c r="K82" s="9"/>
      <c r="L82" s="22"/>
      <c r="M82" s="8"/>
      <c r="N82" s="8"/>
      <c r="O82" s="102" t="s">
        <v>115</v>
      </c>
      <c r="P82" s="101">
        <v>5</v>
      </c>
      <c r="Q82" s="8"/>
      <c r="R82" s="8"/>
      <c r="S82" s="100" t="s">
        <v>115</v>
      </c>
      <c r="T82" s="101">
        <v>49</v>
      </c>
      <c r="W82" s="100" t="s">
        <v>115</v>
      </c>
      <c r="X82" s="101">
        <v>24</v>
      </c>
      <c r="AA82" s="100" t="s">
        <v>115</v>
      </c>
      <c r="AB82" s="101">
        <v>21</v>
      </c>
      <c r="AI82" s="9"/>
      <c r="AJ82" s="22"/>
      <c r="AM82" s="9"/>
      <c r="AN82" s="22"/>
      <c r="AQ82" s="100" t="s">
        <v>115</v>
      </c>
      <c r="AR82" s="101">
        <v>23</v>
      </c>
      <c r="AU82" s="9"/>
      <c r="AV82" s="22"/>
      <c r="AY82" s="100" t="s">
        <v>115</v>
      </c>
      <c r="AZ82" s="101">
        <v>32</v>
      </c>
      <c r="BC82" s="100" t="s">
        <v>115</v>
      </c>
      <c r="BD82" s="101">
        <v>52</v>
      </c>
      <c r="BF82" s="100" t="s">
        <v>115</v>
      </c>
      <c r="BG82" s="101">
        <v>31</v>
      </c>
      <c r="BJ82" s="100" t="s">
        <v>115</v>
      </c>
      <c r="BK82" s="101">
        <v>46</v>
      </c>
      <c r="BN82" s="9"/>
      <c r="BO82" s="22"/>
      <c r="BR82" s="9"/>
      <c r="BS82" s="22"/>
      <c r="BV82" s="9"/>
      <c r="BW82" s="22"/>
      <c r="BZ82" s="9"/>
      <c r="CA82" s="22"/>
      <c r="CD82" s="100" t="s">
        <v>115</v>
      </c>
      <c r="CE82" s="101">
        <v>14</v>
      </c>
      <c r="CH82" s="100" t="s">
        <v>115</v>
      </c>
      <c r="CI82" s="101">
        <v>18</v>
      </c>
      <c r="CL82" s="100" t="s">
        <v>115</v>
      </c>
      <c r="CM82" s="101">
        <v>36</v>
      </c>
      <c r="CP82" s="9"/>
      <c r="CQ82" s="22"/>
      <c r="CT82" s="100" t="s">
        <v>115</v>
      </c>
      <c r="CU82" s="101">
        <v>26</v>
      </c>
      <c r="CX82" s="9"/>
      <c r="CY82" s="22"/>
      <c r="DB82" s="100" t="s">
        <v>115</v>
      </c>
      <c r="DC82" s="101">
        <v>35</v>
      </c>
      <c r="DF82" s="100" t="s">
        <v>115</v>
      </c>
      <c r="DG82" s="101">
        <v>21</v>
      </c>
      <c r="DJ82" s="100" t="s">
        <v>115</v>
      </c>
      <c r="DK82" s="101">
        <v>50</v>
      </c>
      <c r="DN82" s="100" t="s">
        <v>115</v>
      </c>
      <c r="DO82" s="101">
        <v>18</v>
      </c>
      <c r="DR82" s="100" t="s">
        <v>115</v>
      </c>
      <c r="DS82" s="101">
        <v>60</v>
      </c>
      <c r="DV82" s="100" t="s">
        <v>115</v>
      </c>
      <c r="DW82" s="101">
        <v>35</v>
      </c>
      <c r="DZ82" s="100" t="s">
        <v>115</v>
      </c>
      <c r="EA82" s="101">
        <v>33</v>
      </c>
      <c r="ED82" s="100" t="s">
        <v>115</v>
      </c>
      <c r="EE82" s="101">
        <v>12</v>
      </c>
      <c r="EH82" s="100" t="s">
        <v>115</v>
      </c>
      <c r="EI82" s="101">
        <v>87</v>
      </c>
      <c r="EK82" s="100" t="s">
        <v>115</v>
      </c>
      <c r="EL82" s="101">
        <v>29</v>
      </c>
      <c r="EO82" s="100" t="s">
        <v>115</v>
      </c>
      <c r="EP82" s="101">
        <v>3</v>
      </c>
      <c r="ES82" s="100" t="s">
        <v>115</v>
      </c>
      <c r="ET82" s="101">
        <v>0.5</v>
      </c>
      <c r="FA82" s="100" t="s">
        <v>317</v>
      </c>
      <c r="FB82" s="101">
        <v>44</v>
      </c>
    </row>
    <row r="83" spans="7:158" x14ac:dyDescent="0.25">
      <c r="G83" s="100" t="s">
        <v>116</v>
      </c>
      <c r="H83" s="101">
        <v>14</v>
      </c>
      <c r="J83" s="8"/>
      <c r="K83" s="9"/>
      <c r="L83" s="22"/>
      <c r="M83" s="8"/>
      <c r="N83" s="8"/>
      <c r="O83" s="102" t="s">
        <v>116</v>
      </c>
      <c r="P83" s="101">
        <v>4</v>
      </c>
      <c r="Q83" s="8"/>
      <c r="R83" s="8"/>
      <c r="S83" s="100" t="s">
        <v>116</v>
      </c>
      <c r="T83" s="101">
        <v>48</v>
      </c>
      <c r="W83" s="100" t="s">
        <v>116</v>
      </c>
      <c r="X83" s="101">
        <v>22</v>
      </c>
      <c r="AA83" s="100" t="s">
        <v>116</v>
      </c>
      <c r="AB83" s="101">
        <v>21</v>
      </c>
      <c r="AI83" s="9"/>
      <c r="AJ83" s="22"/>
      <c r="AM83" s="9"/>
      <c r="AN83" s="22"/>
      <c r="AQ83" s="100" t="s">
        <v>116</v>
      </c>
      <c r="AR83" s="101">
        <v>20</v>
      </c>
      <c r="AU83" s="9"/>
      <c r="AV83" s="22"/>
      <c r="AY83" s="100" t="s">
        <v>116</v>
      </c>
      <c r="AZ83" s="101">
        <v>33</v>
      </c>
      <c r="BC83" s="100" t="s">
        <v>116</v>
      </c>
      <c r="BD83" s="101">
        <v>55</v>
      </c>
      <c r="BF83" s="100" t="s">
        <v>116</v>
      </c>
      <c r="BG83" s="101">
        <v>24</v>
      </c>
      <c r="BJ83" s="100" t="s">
        <v>116</v>
      </c>
      <c r="BK83" s="101">
        <v>41</v>
      </c>
      <c r="BN83" s="9"/>
      <c r="BO83" s="22"/>
      <c r="BR83" s="9"/>
      <c r="BS83" s="22"/>
      <c r="BV83" s="9"/>
      <c r="BW83" s="22"/>
      <c r="BZ83" s="9"/>
      <c r="CA83" s="22"/>
      <c r="CD83" s="100" t="s">
        <v>116</v>
      </c>
      <c r="CE83" s="101">
        <v>12</v>
      </c>
      <c r="CH83" s="100" t="s">
        <v>116</v>
      </c>
      <c r="CI83" s="101">
        <v>18</v>
      </c>
      <c r="CL83" s="100" t="s">
        <v>116</v>
      </c>
      <c r="CM83" s="101">
        <v>37</v>
      </c>
      <c r="CP83" s="9"/>
      <c r="CQ83" s="22"/>
      <c r="CT83" s="100" t="s">
        <v>116</v>
      </c>
      <c r="CU83" s="101">
        <v>38</v>
      </c>
      <c r="CX83" s="9"/>
      <c r="CY83" s="22"/>
      <c r="DB83" s="100" t="s">
        <v>116</v>
      </c>
      <c r="DC83" s="101">
        <v>39</v>
      </c>
      <c r="DF83" s="100" t="s">
        <v>116</v>
      </c>
      <c r="DG83" s="101">
        <v>21</v>
      </c>
      <c r="DJ83" s="100" t="s">
        <v>116</v>
      </c>
      <c r="DK83" s="101">
        <v>47</v>
      </c>
      <c r="DN83" s="100" t="s">
        <v>116</v>
      </c>
      <c r="DO83" s="101">
        <v>17</v>
      </c>
      <c r="DR83" s="100" t="s">
        <v>116</v>
      </c>
      <c r="DS83" s="101">
        <v>47</v>
      </c>
      <c r="DV83" s="100" t="s">
        <v>116</v>
      </c>
      <c r="DW83" s="101">
        <v>29</v>
      </c>
      <c r="DZ83" s="100" t="s">
        <v>116</v>
      </c>
      <c r="EA83" s="101">
        <v>35</v>
      </c>
      <c r="ED83" s="100" t="s">
        <v>116</v>
      </c>
      <c r="EE83" s="101">
        <v>11</v>
      </c>
      <c r="EH83" s="100" t="s">
        <v>116</v>
      </c>
      <c r="EI83" s="101">
        <v>83</v>
      </c>
      <c r="EK83" s="100" t="s">
        <v>116</v>
      </c>
      <c r="EL83" s="101">
        <v>30</v>
      </c>
      <c r="EO83" s="100" t="s">
        <v>116</v>
      </c>
      <c r="EP83" s="101">
        <v>3</v>
      </c>
      <c r="ES83" s="100" t="s">
        <v>116</v>
      </c>
      <c r="ET83" s="101">
        <v>0.9</v>
      </c>
      <c r="FA83" s="100" t="s">
        <v>318</v>
      </c>
      <c r="FB83" s="101">
        <v>44</v>
      </c>
    </row>
    <row r="84" spans="7:158" x14ac:dyDescent="0.25">
      <c r="G84" s="100" t="s">
        <v>117</v>
      </c>
      <c r="H84" s="101">
        <v>13</v>
      </c>
      <c r="J84" s="8"/>
      <c r="K84" s="9"/>
      <c r="L84" s="22"/>
      <c r="M84" s="8"/>
      <c r="N84" s="8"/>
      <c r="O84" s="102" t="s">
        <v>117</v>
      </c>
      <c r="P84" s="101">
        <v>3</v>
      </c>
      <c r="Q84" s="8"/>
      <c r="R84" s="8"/>
      <c r="S84" s="100" t="s">
        <v>117</v>
      </c>
      <c r="T84" s="101">
        <v>54</v>
      </c>
      <c r="W84" s="100" t="s">
        <v>117</v>
      </c>
      <c r="X84" s="101">
        <v>22</v>
      </c>
      <c r="AA84" s="100" t="s">
        <v>117</v>
      </c>
      <c r="AB84" s="101">
        <v>20</v>
      </c>
      <c r="AI84" s="9"/>
      <c r="AJ84" s="22"/>
      <c r="AM84" s="9"/>
      <c r="AN84" s="22"/>
      <c r="AQ84" s="100" t="s">
        <v>117</v>
      </c>
      <c r="AR84" s="101">
        <v>24</v>
      </c>
      <c r="AU84" s="9"/>
      <c r="AV84" s="22"/>
      <c r="AY84" s="100" t="s">
        <v>117</v>
      </c>
      <c r="AZ84" s="101">
        <v>35</v>
      </c>
      <c r="BC84" s="100" t="s">
        <v>117</v>
      </c>
      <c r="BD84" s="101">
        <v>55</v>
      </c>
      <c r="BF84" s="100" t="s">
        <v>117</v>
      </c>
      <c r="BG84" s="101">
        <v>25</v>
      </c>
      <c r="BJ84" s="100" t="s">
        <v>117</v>
      </c>
      <c r="BK84" s="101">
        <v>48</v>
      </c>
      <c r="BN84" s="9"/>
      <c r="BO84" s="22"/>
      <c r="BR84" s="9"/>
      <c r="BS84" s="22"/>
      <c r="BV84" s="9"/>
      <c r="BW84" s="22"/>
      <c r="BZ84" s="9"/>
      <c r="CA84" s="22"/>
      <c r="CD84" s="100" t="s">
        <v>117</v>
      </c>
      <c r="CE84" s="101">
        <v>11</v>
      </c>
      <c r="CH84" s="100" t="s">
        <v>117</v>
      </c>
      <c r="CI84" s="101">
        <v>13</v>
      </c>
      <c r="CL84" s="100" t="s">
        <v>117</v>
      </c>
      <c r="CM84" s="101">
        <v>32</v>
      </c>
      <c r="CP84" s="9"/>
      <c r="CQ84" s="22"/>
      <c r="CT84" s="100" t="s">
        <v>117</v>
      </c>
      <c r="CU84" s="101">
        <v>15</v>
      </c>
      <c r="CX84" s="9"/>
      <c r="CY84" s="22"/>
      <c r="DB84" s="100" t="s">
        <v>117</v>
      </c>
      <c r="DC84" s="101">
        <v>28</v>
      </c>
      <c r="DF84" s="100" t="s">
        <v>117</v>
      </c>
      <c r="DG84" s="101">
        <v>22</v>
      </c>
      <c r="DJ84" s="100" t="s">
        <v>117</v>
      </c>
      <c r="DK84" s="101">
        <v>44</v>
      </c>
      <c r="DN84" s="100" t="s">
        <v>117</v>
      </c>
      <c r="DO84" s="101">
        <v>18</v>
      </c>
      <c r="DR84" s="100" t="s">
        <v>117</v>
      </c>
      <c r="DS84" s="101">
        <v>48</v>
      </c>
      <c r="DV84" s="100" t="s">
        <v>117</v>
      </c>
      <c r="DW84" s="101">
        <v>32</v>
      </c>
      <c r="DZ84" s="100" t="s">
        <v>117</v>
      </c>
      <c r="EA84" s="101">
        <v>32</v>
      </c>
      <c r="ED84" s="100" t="s">
        <v>117</v>
      </c>
      <c r="EE84" s="101">
        <v>11</v>
      </c>
      <c r="EH84" s="100" t="s">
        <v>117</v>
      </c>
      <c r="EI84" s="101">
        <v>65</v>
      </c>
      <c r="EK84" s="100" t="s">
        <v>117</v>
      </c>
      <c r="EL84" s="101">
        <v>25</v>
      </c>
      <c r="EO84" s="100" t="s">
        <v>117</v>
      </c>
      <c r="EP84" s="101">
        <v>3</v>
      </c>
      <c r="ES84" s="100" t="s">
        <v>117</v>
      </c>
      <c r="ET84" s="101">
        <v>0.5</v>
      </c>
      <c r="FA84" s="100" t="s">
        <v>319</v>
      </c>
      <c r="FB84" s="101">
        <v>45</v>
      </c>
    </row>
    <row r="85" spans="7:158" x14ac:dyDescent="0.25">
      <c r="G85" s="100" t="s">
        <v>118</v>
      </c>
      <c r="H85" s="101">
        <v>10</v>
      </c>
      <c r="J85" s="8"/>
      <c r="K85" s="9"/>
      <c r="L85" s="22"/>
      <c r="M85" s="8"/>
      <c r="N85" s="8"/>
      <c r="O85" s="102" t="s">
        <v>118</v>
      </c>
      <c r="P85" s="101">
        <v>3</v>
      </c>
      <c r="Q85" s="8"/>
      <c r="R85" s="8"/>
      <c r="S85" s="100" t="s">
        <v>118</v>
      </c>
      <c r="T85" s="101">
        <v>51</v>
      </c>
      <c r="W85" s="100" t="s">
        <v>118</v>
      </c>
      <c r="X85" s="101">
        <v>24</v>
      </c>
      <c r="AA85" s="100" t="s">
        <v>118</v>
      </c>
      <c r="AB85" s="101">
        <v>19</v>
      </c>
      <c r="AI85" s="9"/>
      <c r="AJ85" s="22"/>
      <c r="AM85" s="9"/>
      <c r="AN85" s="22"/>
      <c r="AQ85" s="100" t="s">
        <v>118</v>
      </c>
      <c r="AR85" s="101">
        <v>34</v>
      </c>
      <c r="AU85" s="9"/>
      <c r="AV85" s="22"/>
      <c r="AY85" s="100" t="s">
        <v>118</v>
      </c>
      <c r="AZ85" s="101">
        <v>33</v>
      </c>
      <c r="BC85" s="100" t="s">
        <v>118</v>
      </c>
      <c r="BD85" s="101">
        <v>49</v>
      </c>
      <c r="BF85" s="100" t="s">
        <v>118</v>
      </c>
      <c r="BG85" s="101">
        <v>23</v>
      </c>
      <c r="BJ85" s="100" t="s">
        <v>118</v>
      </c>
      <c r="BK85" s="101">
        <v>37</v>
      </c>
      <c r="BN85" s="9"/>
      <c r="BO85" s="22"/>
      <c r="BR85" s="9"/>
      <c r="BS85" s="22"/>
      <c r="BV85" s="9"/>
      <c r="BW85" s="22"/>
      <c r="BZ85" s="9"/>
      <c r="CA85" s="22"/>
      <c r="CD85" s="100" t="s">
        <v>118</v>
      </c>
      <c r="CE85" s="101">
        <v>11</v>
      </c>
      <c r="CH85" s="100" t="s">
        <v>118</v>
      </c>
      <c r="CI85" s="101">
        <v>12</v>
      </c>
      <c r="CL85" s="100" t="s">
        <v>118</v>
      </c>
      <c r="CM85" s="101">
        <v>34</v>
      </c>
      <c r="CP85" s="9"/>
      <c r="CQ85" s="22"/>
      <c r="CT85" s="100" t="s">
        <v>118</v>
      </c>
      <c r="CU85" s="101">
        <v>20</v>
      </c>
      <c r="CX85" s="9"/>
      <c r="CY85" s="22"/>
      <c r="DB85" s="100" t="s">
        <v>118</v>
      </c>
      <c r="DC85" s="101">
        <v>33</v>
      </c>
      <c r="DF85" s="100" t="s">
        <v>118</v>
      </c>
      <c r="DG85" s="101">
        <v>18</v>
      </c>
      <c r="DJ85" s="100" t="s">
        <v>118</v>
      </c>
      <c r="DK85" s="101">
        <v>43</v>
      </c>
      <c r="DN85" s="100" t="s">
        <v>118</v>
      </c>
      <c r="DO85" s="101">
        <v>15</v>
      </c>
      <c r="DR85" s="100" t="s">
        <v>118</v>
      </c>
      <c r="DS85" s="101">
        <v>37</v>
      </c>
      <c r="DV85" s="100" t="s">
        <v>118</v>
      </c>
      <c r="DW85" s="101">
        <v>31</v>
      </c>
      <c r="DZ85" s="100" t="s">
        <v>118</v>
      </c>
      <c r="EA85" s="101">
        <v>31</v>
      </c>
      <c r="ED85" s="100" t="s">
        <v>118</v>
      </c>
      <c r="EE85" s="101">
        <v>12</v>
      </c>
      <c r="EH85" s="100" t="s">
        <v>118</v>
      </c>
      <c r="EI85" s="101">
        <v>97</v>
      </c>
      <c r="EK85" s="100" t="s">
        <v>118</v>
      </c>
      <c r="EL85" s="101">
        <v>24</v>
      </c>
      <c r="EO85" s="100" t="s">
        <v>118</v>
      </c>
      <c r="EP85" s="101">
        <v>4</v>
      </c>
      <c r="ES85" s="100" t="s">
        <v>118</v>
      </c>
      <c r="ET85" s="101">
        <v>0.4</v>
      </c>
      <c r="FA85" s="100" t="s">
        <v>320</v>
      </c>
      <c r="FB85" s="101">
        <v>41</v>
      </c>
    </row>
    <row r="86" spans="7:158" x14ac:dyDescent="0.25">
      <c r="G86" s="100" t="s">
        <v>119</v>
      </c>
      <c r="H86" s="101">
        <v>9</v>
      </c>
      <c r="J86" s="8"/>
      <c r="K86" s="9"/>
      <c r="L86" s="22"/>
      <c r="M86" s="8"/>
      <c r="N86" s="8"/>
      <c r="O86" s="102" t="s">
        <v>119</v>
      </c>
      <c r="P86" s="101">
        <v>3</v>
      </c>
      <c r="Q86" s="8"/>
      <c r="R86" s="8"/>
      <c r="S86" s="100" t="s">
        <v>119</v>
      </c>
      <c r="T86" s="101">
        <v>46</v>
      </c>
      <c r="W86" s="100" t="s">
        <v>119</v>
      </c>
      <c r="X86" s="101">
        <v>25</v>
      </c>
      <c r="AA86" s="100" t="s">
        <v>119</v>
      </c>
      <c r="AB86" s="101">
        <v>19</v>
      </c>
      <c r="AI86" s="9"/>
      <c r="AJ86" s="22"/>
      <c r="AM86" s="9"/>
      <c r="AN86" s="22"/>
      <c r="AQ86" s="100" t="s">
        <v>119</v>
      </c>
      <c r="AR86" s="101">
        <v>28</v>
      </c>
      <c r="AU86" s="9"/>
      <c r="AV86" s="22"/>
      <c r="AY86" s="100" t="s">
        <v>119</v>
      </c>
      <c r="AZ86" s="101">
        <v>32</v>
      </c>
      <c r="BC86" s="100" t="s">
        <v>119</v>
      </c>
      <c r="BD86" s="101">
        <v>52</v>
      </c>
      <c r="BF86" s="100" t="s">
        <v>119</v>
      </c>
      <c r="BG86" s="101">
        <v>26</v>
      </c>
      <c r="BJ86" s="100" t="s">
        <v>119</v>
      </c>
      <c r="BK86" s="101">
        <v>30</v>
      </c>
      <c r="BN86" s="9"/>
      <c r="BO86" s="22"/>
      <c r="BR86" s="9"/>
      <c r="BS86" s="22"/>
      <c r="BV86" s="9"/>
      <c r="BW86" s="22"/>
      <c r="BZ86" s="9"/>
      <c r="CA86" s="22"/>
      <c r="CD86" s="100" t="s">
        <v>119</v>
      </c>
      <c r="CE86" s="101">
        <v>10</v>
      </c>
      <c r="CH86" s="100" t="s">
        <v>119</v>
      </c>
      <c r="CI86" s="101">
        <v>10</v>
      </c>
      <c r="CL86" s="100" t="s">
        <v>119</v>
      </c>
      <c r="CM86" s="101">
        <v>26</v>
      </c>
      <c r="CP86" s="9"/>
      <c r="CQ86" s="22"/>
      <c r="CT86" s="100" t="s">
        <v>119</v>
      </c>
      <c r="CU86" s="101">
        <v>24</v>
      </c>
      <c r="CX86" s="9"/>
      <c r="CY86" s="22"/>
      <c r="DB86" s="100" t="s">
        <v>119</v>
      </c>
      <c r="DC86" s="101">
        <v>20</v>
      </c>
      <c r="DF86" s="100" t="s">
        <v>119</v>
      </c>
      <c r="DG86" s="101">
        <v>16</v>
      </c>
      <c r="DJ86" s="100" t="s">
        <v>119</v>
      </c>
      <c r="DK86" s="101">
        <v>42</v>
      </c>
      <c r="DN86" s="100" t="s">
        <v>119</v>
      </c>
      <c r="DO86" s="101">
        <v>13</v>
      </c>
      <c r="DR86" s="100" t="s">
        <v>119</v>
      </c>
      <c r="DS86" s="101">
        <v>44</v>
      </c>
      <c r="DV86" s="100" t="s">
        <v>119</v>
      </c>
      <c r="DW86" s="101">
        <v>37</v>
      </c>
      <c r="DZ86" s="100" t="s">
        <v>119</v>
      </c>
      <c r="EA86" s="101">
        <v>29</v>
      </c>
      <c r="ED86" s="100" t="s">
        <v>119</v>
      </c>
      <c r="EE86" s="101">
        <v>12</v>
      </c>
      <c r="EH86" s="100" t="s">
        <v>119</v>
      </c>
      <c r="EI86" s="101">
        <v>67</v>
      </c>
      <c r="EK86" s="100" t="s">
        <v>119</v>
      </c>
      <c r="EL86" s="101">
        <v>24</v>
      </c>
      <c r="EO86" s="100" t="s">
        <v>119</v>
      </c>
      <c r="EP86" s="101">
        <v>4</v>
      </c>
      <c r="ES86" s="100" t="s">
        <v>119</v>
      </c>
      <c r="ET86" s="101">
        <v>0.5</v>
      </c>
      <c r="FA86" s="100" t="s">
        <v>321</v>
      </c>
      <c r="FB86" s="101">
        <v>41</v>
      </c>
    </row>
    <row r="87" spans="7:158" x14ac:dyDescent="0.25">
      <c r="G87" s="100" t="s">
        <v>120</v>
      </c>
      <c r="H87" s="101">
        <v>9</v>
      </c>
      <c r="J87" s="8"/>
      <c r="K87" s="9"/>
      <c r="L87" s="22"/>
      <c r="M87" s="8"/>
      <c r="N87" s="8"/>
      <c r="O87" s="102" t="s">
        <v>120</v>
      </c>
      <c r="P87" s="101">
        <v>3</v>
      </c>
      <c r="Q87" s="8"/>
      <c r="R87" s="8"/>
      <c r="S87" s="100" t="s">
        <v>120</v>
      </c>
      <c r="T87" s="101">
        <v>48</v>
      </c>
      <c r="W87" s="100" t="s">
        <v>120</v>
      </c>
      <c r="X87" s="101">
        <v>25</v>
      </c>
      <c r="AA87" s="100" t="s">
        <v>120</v>
      </c>
      <c r="AB87" s="101">
        <v>17</v>
      </c>
      <c r="AI87" s="9"/>
      <c r="AJ87" s="22"/>
      <c r="AM87" s="9"/>
      <c r="AN87" s="22"/>
      <c r="AQ87" s="100" t="s">
        <v>120</v>
      </c>
      <c r="AR87" s="101">
        <v>29</v>
      </c>
      <c r="AU87" s="9"/>
      <c r="AV87" s="22"/>
      <c r="AY87" s="100" t="s">
        <v>120</v>
      </c>
      <c r="AZ87" s="101">
        <v>36</v>
      </c>
      <c r="BC87" s="100" t="s">
        <v>120</v>
      </c>
      <c r="BD87" s="101">
        <v>57</v>
      </c>
      <c r="BF87" s="100" t="s">
        <v>120</v>
      </c>
      <c r="BG87" s="101">
        <v>24</v>
      </c>
      <c r="BJ87" s="100" t="s">
        <v>120</v>
      </c>
      <c r="BK87" s="101">
        <v>23</v>
      </c>
      <c r="BN87" s="9"/>
      <c r="BO87" s="22"/>
      <c r="BR87" s="9"/>
      <c r="BS87" s="22"/>
      <c r="BV87" s="9"/>
      <c r="BW87" s="22"/>
      <c r="BZ87" s="9"/>
      <c r="CA87" s="22"/>
      <c r="CD87" s="100" t="s">
        <v>120</v>
      </c>
      <c r="CE87" s="101">
        <v>11</v>
      </c>
      <c r="CH87" s="100" t="s">
        <v>120</v>
      </c>
      <c r="CI87" s="101">
        <v>12</v>
      </c>
      <c r="CL87" s="100" t="s">
        <v>120</v>
      </c>
      <c r="CM87" s="101">
        <v>27</v>
      </c>
      <c r="CP87" s="9"/>
      <c r="CQ87" s="22"/>
      <c r="CT87" s="100" t="s">
        <v>120</v>
      </c>
      <c r="CU87" s="101">
        <v>28</v>
      </c>
      <c r="CX87" s="9"/>
      <c r="CY87" s="22"/>
      <c r="DB87" s="100" t="s">
        <v>120</v>
      </c>
      <c r="DC87" s="101">
        <v>27</v>
      </c>
      <c r="DF87" s="100" t="s">
        <v>120</v>
      </c>
      <c r="DG87" s="101">
        <v>15</v>
      </c>
      <c r="DJ87" s="100" t="s">
        <v>120</v>
      </c>
      <c r="DK87" s="101">
        <v>42</v>
      </c>
      <c r="DN87" s="100" t="s">
        <v>120</v>
      </c>
      <c r="DO87" s="101">
        <v>14</v>
      </c>
      <c r="DR87" s="100" t="s">
        <v>120</v>
      </c>
      <c r="DS87" s="101">
        <v>37</v>
      </c>
      <c r="DV87" s="100" t="s">
        <v>120</v>
      </c>
      <c r="DW87" s="101">
        <v>30</v>
      </c>
      <c r="DZ87" s="100" t="s">
        <v>120</v>
      </c>
      <c r="EA87" s="101">
        <v>29</v>
      </c>
      <c r="ED87" s="100" t="s">
        <v>120</v>
      </c>
      <c r="EE87" s="101">
        <v>25</v>
      </c>
      <c r="EH87" s="100" t="s">
        <v>120</v>
      </c>
      <c r="EI87" s="101">
        <v>69</v>
      </c>
      <c r="EK87" s="100" t="s">
        <v>120</v>
      </c>
      <c r="EL87" s="101">
        <v>27</v>
      </c>
      <c r="EO87" s="100" t="s">
        <v>120</v>
      </c>
      <c r="EP87" s="101">
        <v>0</v>
      </c>
      <c r="ES87" s="100" t="s">
        <v>120</v>
      </c>
      <c r="ET87" s="101">
        <v>0.4</v>
      </c>
      <c r="FA87" s="100" t="s">
        <v>322</v>
      </c>
      <c r="FB87" s="101">
        <v>42</v>
      </c>
    </row>
    <row r="88" spans="7:158" x14ac:dyDescent="0.25">
      <c r="G88" s="100" t="s">
        <v>121</v>
      </c>
      <c r="H88" s="101">
        <v>11</v>
      </c>
      <c r="J88" s="8"/>
      <c r="K88" s="9"/>
      <c r="L88" s="22"/>
      <c r="M88" s="8"/>
      <c r="N88" s="8"/>
      <c r="O88" s="102" t="s">
        <v>121</v>
      </c>
      <c r="P88" s="101">
        <v>4</v>
      </c>
      <c r="Q88" s="8"/>
      <c r="R88" s="8"/>
      <c r="S88" s="100" t="s">
        <v>121</v>
      </c>
      <c r="T88" s="101">
        <v>52</v>
      </c>
      <c r="W88" s="100" t="s">
        <v>121</v>
      </c>
      <c r="X88" s="101">
        <v>22</v>
      </c>
      <c r="AA88" s="100" t="s">
        <v>121</v>
      </c>
      <c r="AB88" s="101">
        <v>19</v>
      </c>
      <c r="AI88" s="9"/>
      <c r="AJ88" s="22"/>
      <c r="AM88" s="9"/>
      <c r="AN88" s="22"/>
      <c r="AQ88" s="100" t="s">
        <v>121</v>
      </c>
      <c r="AR88" s="101">
        <v>26</v>
      </c>
      <c r="AU88" s="9"/>
      <c r="AV88" s="22"/>
      <c r="AY88" s="100" t="s">
        <v>121</v>
      </c>
      <c r="AZ88" s="101">
        <v>33</v>
      </c>
      <c r="BC88" s="100" t="s">
        <v>121</v>
      </c>
      <c r="BD88" s="101">
        <v>58</v>
      </c>
      <c r="BF88" s="100" t="s">
        <v>121</v>
      </c>
      <c r="BG88" s="101">
        <v>34</v>
      </c>
      <c r="BJ88" s="100" t="s">
        <v>121</v>
      </c>
      <c r="BK88" s="101">
        <v>37</v>
      </c>
      <c r="BN88" s="9"/>
      <c r="BO88" s="22"/>
      <c r="BR88" s="9"/>
      <c r="BS88" s="22"/>
      <c r="BV88" s="9"/>
      <c r="BW88" s="22"/>
      <c r="BZ88" s="9"/>
      <c r="CA88" s="22"/>
      <c r="CD88" s="100" t="s">
        <v>121</v>
      </c>
      <c r="CE88" s="101">
        <v>11</v>
      </c>
      <c r="CH88" s="100" t="s">
        <v>121</v>
      </c>
      <c r="CI88" s="101">
        <v>10</v>
      </c>
      <c r="CL88" s="100" t="s">
        <v>121</v>
      </c>
      <c r="CM88" s="101">
        <v>28</v>
      </c>
      <c r="CP88" s="9"/>
      <c r="CQ88" s="22"/>
      <c r="CT88" s="100" t="s">
        <v>121</v>
      </c>
      <c r="CU88" s="101">
        <v>28</v>
      </c>
      <c r="CX88" s="9"/>
      <c r="CY88" s="22"/>
      <c r="DB88" s="100" t="s">
        <v>121</v>
      </c>
      <c r="DC88" s="101">
        <v>29</v>
      </c>
      <c r="DF88" s="100" t="s">
        <v>121</v>
      </c>
      <c r="DG88" s="101">
        <v>18</v>
      </c>
      <c r="DJ88" s="100" t="s">
        <v>121</v>
      </c>
      <c r="DK88" s="101">
        <v>40</v>
      </c>
      <c r="DN88" s="100" t="s">
        <v>121</v>
      </c>
      <c r="DO88" s="101">
        <v>14</v>
      </c>
      <c r="DR88" s="100" t="s">
        <v>121</v>
      </c>
      <c r="DS88" s="101">
        <v>35</v>
      </c>
      <c r="DV88" s="100" t="s">
        <v>121</v>
      </c>
      <c r="DW88" s="101">
        <v>36</v>
      </c>
      <c r="DZ88" s="100" t="s">
        <v>121</v>
      </c>
      <c r="EA88" s="101">
        <v>45</v>
      </c>
      <c r="ED88" s="100" t="s">
        <v>121</v>
      </c>
      <c r="EE88" s="101">
        <v>23</v>
      </c>
      <c r="EH88" s="100" t="s">
        <v>121</v>
      </c>
      <c r="EI88" s="101">
        <v>97</v>
      </c>
      <c r="EK88" s="100" t="s">
        <v>121</v>
      </c>
      <c r="EL88" s="101">
        <v>31</v>
      </c>
      <c r="EO88" s="100" t="s">
        <v>121</v>
      </c>
      <c r="EP88" s="101">
        <v>0</v>
      </c>
      <c r="ES88" s="100" t="s">
        <v>121</v>
      </c>
      <c r="ET88" s="101">
        <v>0.4</v>
      </c>
      <c r="FA88" s="100" t="s">
        <v>323</v>
      </c>
      <c r="FB88" s="101">
        <v>43</v>
      </c>
    </row>
    <row r="89" spans="7:158" x14ac:dyDescent="0.25">
      <c r="G89" s="100" t="s">
        <v>122</v>
      </c>
      <c r="H89" s="101">
        <v>10</v>
      </c>
      <c r="J89" s="8"/>
      <c r="K89" s="9"/>
      <c r="L89" s="22"/>
      <c r="M89" s="8"/>
      <c r="N89" s="8"/>
      <c r="O89" s="102" t="s">
        <v>122</v>
      </c>
      <c r="P89" s="101">
        <v>5</v>
      </c>
      <c r="Q89" s="8"/>
      <c r="R89" s="8"/>
      <c r="S89" s="100" t="s">
        <v>122</v>
      </c>
      <c r="T89" s="101">
        <v>48</v>
      </c>
      <c r="W89" s="100" t="s">
        <v>122</v>
      </c>
      <c r="X89" s="101">
        <v>26</v>
      </c>
      <c r="AA89" s="100" t="s">
        <v>122</v>
      </c>
      <c r="AB89" s="101">
        <v>20</v>
      </c>
      <c r="AI89" s="9"/>
      <c r="AJ89" s="22"/>
      <c r="AM89" s="9"/>
      <c r="AN89" s="22"/>
      <c r="AQ89" s="100" t="s">
        <v>122</v>
      </c>
      <c r="AR89" s="101">
        <v>25</v>
      </c>
      <c r="AU89" s="9"/>
      <c r="AV89" s="22"/>
      <c r="AY89" s="100" t="s">
        <v>122</v>
      </c>
      <c r="AZ89" s="101">
        <v>34</v>
      </c>
      <c r="BC89" s="100" t="s">
        <v>122</v>
      </c>
      <c r="BD89" s="101">
        <v>63</v>
      </c>
      <c r="BF89" s="100" t="s">
        <v>122</v>
      </c>
      <c r="BG89" s="101">
        <v>23</v>
      </c>
      <c r="BJ89" s="100" t="s">
        <v>122</v>
      </c>
      <c r="BK89" s="101">
        <v>30</v>
      </c>
      <c r="BN89" s="9"/>
      <c r="BO89" s="22"/>
      <c r="BR89" s="9"/>
      <c r="BS89" s="22"/>
      <c r="BV89" s="9"/>
      <c r="BW89" s="22"/>
      <c r="BZ89" s="9"/>
      <c r="CA89" s="22"/>
      <c r="CD89" s="100" t="s">
        <v>122</v>
      </c>
      <c r="CE89" s="101">
        <v>11</v>
      </c>
      <c r="CH89" s="100" t="s">
        <v>122</v>
      </c>
      <c r="CI89" s="101">
        <v>12</v>
      </c>
      <c r="CL89" s="100" t="s">
        <v>122</v>
      </c>
      <c r="CM89" s="101">
        <v>28</v>
      </c>
      <c r="CP89" s="9"/>
      <c r="CQ89" s="22"/>
      <c r="CT89" s="100" t="s">
        <v>122</v>
      </c>
      <c r="CU89" s="101">
        <v>30</v>
      </c>
      <c r="CX89" s="9"/>
      <c r="CY89" s="22"/>
      <c r="DB89" s="100" t="s">
        <v>122</v>
      </c>
      <c r="DC89" s="101">
        <v>29</v>
      </c>
      <c r="DF89" s="100" t="s">
        <v>122</v>
      </c>
      <c r="DG89" s="101">
        <v>19</v>
      </c>
      <c r="DJ89" s="100" t="s">
        <v>122</v>
      </c>
      <c r="DK89" s="101">
        <v>41</v>
      </c>
      <c r="DN89" s="100" t="s">
        <v>122</v>
      </c>
      <c r="DO89" s="101">
        <v>15</v>
      </c>
      <c r="DR89" s="100" t="s">
        <v>122</v>
      </c>
      <c r="DS89" s="101">
        <v>33</v>
      </c>
      <c r="DV89" s="100" t="s">
        <v>122</v>
      </c>
      <c r="DW89" s="101">
        <v>34</v>
      </c>
      <c r="DZ89" s="100" t="s">
        <v>122</v>
      </c>
      <c r="EA89" s="101">
        <v>36</v>
      </c>
      <c r="ED89" s="100" t="s">
        <v>122</v>
      </c>
      <c r="EE89" s="101">
        <v>14</v>
      </c>
      <c r="EH89" s="100" t="s">
        <v>122</v>
      </c>
      <c r="EI89" s="101">
        <v>76</v>
      </c>
      <c r="EK89" s="100" t="s">
        <v>122</v>
      </c>
      <c r="EL89" s="101">
        <v>26</v>
      </c>
      <c r="EO89" s="100" t="s">
        <v>122</v>
      </c>
      <c r="EP89" s="101">
        <v>0</v>
      </c>
      <c r="ES89" s="100" t="s">
        <v>122</v>
      </c>
      <c r="ET89" s="101">
        <v>0.6</v>
      </c>
      <c r="FA89" s="100" t="s">
        <v>324</v>
      </c>
      <c r="FB89" s="101">
        <v>42</v>
      </c>
    </row>
    <row r="90" spans="7:158" x14ac:dyDescent="0.25">
      <c r="G90" s="100" t="s">
        <v>123</v>
      </c>
      <c r="H90" s="101">
        <v>11</v>
      </c>
      <c r="J90" s="8"/>
      <c r="K90" s="9"/>
      <c r="L90" s="22"/>
      <c r="M90" s="8"/>
      <c r="N90" s="8"/>
      <c r="O90" s="102" t="s">
        <v>123</v>
      </c>
      <c r="P90" s="101">
        <v>4</v>
      </c>
      <c r="Q90" s="8"/>
      <c r="R90" s="8"/>
      <c r="S90" s="100" t="s">
        <v>123</v>
      </c>
      <c r="T90" s="101">
        <v>48</v>
      </c>
      <c r="W90" s="100" t="s">
        <v>123</v>
      </c>
      <c r="X90" s="101">
        <v>24</v>
      </c>
      <c r="AA90" s="100" t="s">
        <v>123</v>
      </c>
      <c r="AB90" s="101">
        <v>19</v>
      </c>
      <c r="AI90" s="9"/>
      <c r="AJ90" s="22"/>
      <c r="AM90" s="9"/>
      <c r="AN90" s="22"/>
      <c r="AQ90" s="100" t="s">
        <v>123</v>
      </c>
      <c r="AR90" s="101">
        <v>29</v>
      </c>
      <c r="AU90" s="9"/>
      <c r="AV90" s="22"/>
      <c r="AY90" s="100" t="s">
        <v>123</v>
      </c>
      <c r="AZ90" s="101">
        <v>33</v>
      </c>
      <c r="BC90" s="100" t="s">
        <v>123</v>
      </c>
      <c r="BD90" s="101">
        <v>63</v>
      </c>
      <c r="BF90" s="100" t="s">
        <v>123</v>
      </c>
      <c r="BG90" s="101">
        <v>27</v>
      </c>
      <c r="BJ90" s="100" t="s">
        <v>123</v>
      </c>
      <c r="BK90" s="101">
        <v>42</v>
      </c>
      <c r="BN90" s="9"/>
      <c r="BO90" s="22"/>
      <c r="BR90" s="9"/>
      <c r="BS90" s="22"/>
      <c r="BV90" s="9"/>
      <c r="BW90" s="22"/>
      <c r="BZ90" s="9"/>
      <c r="CA90" s="22"/>
      <c r="CD90" s="100" t="s">
        <v>123</v>
      </c>
      <c r="CE90" s="101">
        <v>11</v>
      </c>
      <c r="CH90" s="100" t="s">
        <v>123</v>
      </c>
      <c r="CI90" s="101">
        <v>11</v>
      </c>
      <c r="CL90" s="100" t="s">
        <v>123</v>
      </c>
      <c r="CM90" s="101">
        <v>28</v>
      </c>
      <c r="CP90" s="9"/>
      <c r="CQ90" s="22"/>
      <c r="CT90" s="100" t="s">
        <v>123</v>
      </c>
      <c r="CU90" s="101">
        <v>22</v>
      </c>
      <c r="CX90" s="9"/>
      <c r="CY90" s="22"/>
      <c r="DB90" s="100" t="s">
        <v>123</v>
      </c>
      <c r="DC90" s="101">
        <v>27</v>
      </c>
      <c r="DF90" s="100" t="s">
        <v>123</v>
      </c>
      <c r="DG90" s="101">
        <v>15</v>
      </c>
      <c r="DJ90" s="100" t="s">
        <v>123</v>
      </c>
      <c r="DK90" s="101">
        <v>40</v>
      </c>
      <c r="DN90" s="100" t="s">
        <v>123</v>
      </c>
      <c r="DO90" s="101">
        <v>13</v>
      </c>
      <c r="DR90" s="100" t="s">
        <v>123</v>
      </c>
      <c r="DS90" s="101">
        <v>32</v>
      </c>
      <c r="DV90" s="100" t="s">
        <v>123</v>
      </c>
      <c r="DW90" s="101">
        <v>52</v>
      </c>
      <c r="DZ90" s="100" t="s">
        <v>123</v>
      </c>
      <c r="EA90" s="101">
        <v>41</v>
      </c>
      <c r="ED90" s="100" t="s">
        <v>123</v>
      </c>
      <c r="EE90" s="101">
        <v>12</v>
      </c>
      <c r="EH90" s="100" t="s">
        <v>123</v>
      </c>
      <c r="EI90" s="101">
        <v>81</v>
      </c>
      <c r="EK90" s="100" t="s">
        <v>123</v>
      </c>
      <c r="EL90" s="101">
        <v>36</v>
      </c>
      <c r="EO90" s="100" t="s">
        <v>123</v>
      </c>
      <c r="EP90" s="101">
        <v>0</v>
      </c>
      <c r="ES90" s="100" t="s">
        <v>123</v>
      </c>
      <c r="ET90" s="101">
        <v>0.7</v>
      </c>
      <c r="FA90" s="100" t="s">
        <v>325</v>
      </c>
      <c r="FB90" s="101">
        <v>39</v>
      </c>
    </row>
    <row r="91" spans="7:158" x14ac:dyDescent="0.25">
      <c r="G91" s="100" t="s">
        <v>124</v>
      </c>
      <c r="H91" s="101">
        <v>10</v>
      </c>
      <c r="J91" s="8"/>
      <c r="K91" s="9"/>
      <c r="L91" s="22"/>
      <c r="M91" s="8"/>
      <c r="N91" s="8"/>
      <c r="O91" s="102" t="s">
        <v>124</v>
      </c>
      <c r="P91" s="101">
        <v>8</v>
      </c>
      <c r="Q91" s="8"/>
      <c r="R91" s="8"/>
      <c r="S91" s="100" t="s">
        <v>124</v>
      </c>
      <c r="T91" s="101">
        <v>46</v>
      </c>
      <c r="W91" s="100" t="s">
        <v>124</v>
      </c>
      <c r="X91" s="101">
        <v>23</v>
      </c>
      <c r="AA91" s="100" t="s">
        <v>124</v>
      </c>
      <c r="AB91" s="101">
        <v>20</v>
      </c>
      <c r="AI91" s="9"/>
      <c r="AJ91" s="22"/>
      <c r="AM91" s="9"/>
      <c r="AN91" s="22"/>
      <c r="AQ91" s="100" t="s">
        <v>124</v>
      </c>
      <c r="AR91" s="101">
        <v>28</v>
      </c>
      <c r="AU91" s="9"/>
      <c r="AV91" s="22"/>
      <c r="AY91" s="100" t="s">
        <v>124</v>
      </c>
      <c r="AZ91" s="101">
        <v>32</v>
      </c>
      <c r="BC91" s="100" t="s">
        <v>124</v>
      </c>
      <c r="BD91" s="101">
        <v>59</v>
      </c>
      <c r="BF91" s="100" t="s">
        <v>124</v>
      </c>
      <c r="BG91" s="101">
        <v>23</v>
      </c>
      <c r="BJ91" s="100" t="s">
        <v>124</v>
      </c>
      <c r="BK91" s="101">
        <v>39</v>
      </c>
      <c r="BN91" s="9"/>
      <c r="BO91" s="22"/>
      <c r="BR91" s="9"/>
      <c r="BS91" s="22"/>
      <c r="BV91" s="9"/>
      <c r="BW91" s="22"/>
      <c r="BZ91" s="9"/>
      <c r="CA91" s="22"/>
      <c r="CD91" s="100" t="s">
        <v>124</v>
      </c>
      <c r="CE91" s="101">
        <v>12</v>
      </c>
      <c r="CH91" s="100" t="s">
        <v>124</v>
      </c>
      <c r="CI91" s="101">
        <v>11</v>
      </c>
      <c r="CL91" s="100" t="s">
        <v>124</v>
      </c>
      <c r="CM91" s="101">
        <v>28</v>
      </c>
      <c r="CP91" s="9"/>
      <c r="CQ91" s="22"/>
      <c r="CT91" s="100" t="s">
        <v>124</v>
      </c>
      <c r="CU91" s="101">
        <v>27</v>
      </c>
      <c r="CX91" s="9"/>
      <c r="CY91" s="22"/>
      <c r="DB91" s="100" t="s">
        <v>124</v>
      </c>
      <c r="DC91" s="101">
        <v>23</v>
      </c>
      <c r="DF91" s="100" t="s">
        <v>124</v>
      </c>
      <c r="DG91" s="101">
        <v>13</v>
      </c>
      <c r="DJ91" s="100" t="s">
        <v>124</v>
      </c>
      <c r="DK91" s="101">
        <v>38</v>
      </c>
      <c r="DN91" s="100" t="s">
        <v>124</v>
      </c>
      <c r="DO91" s="101">
        <v>14</v>
      </c>
      <c r="DR91" s="100" t="s">
        <v>124</v>
      </c>
      <c r="DS91" s="101">
        <v>28</v>
      </c>
      <c r="DV91" s="100" t="s">
        <v>124</v>
      </c>
      <c r="DW91" s="101">
        <v>48</v>
      </c>
      <c r="DZ91" s="100" t="s">
        <v>124</v>
      </c>
      <c r="EA91" s="101">
        <v>33</v>
      </c>
      <c r="ED91" s="100" t="s">
        <v>124</v>
      </c>
      <c r="EE91" s="101">
        <v>12</v>
      </c>
      <c r="EH91" s="100" t="s">
        <v>124</v>
      </c>
      <c r="EI91" s="101">
        <v>77</v>
      </c>
      <c r="EK91" s="100" t="s">
        <v>124</v>
      </c>
      <c r="EL91" s="101">
        <v>22</v>
      </c>
      <c r="EO91" s="100" t="s">
        <v>124</v>
      </c>
      <c r="EP91" s="101">
        <v>0</v>
      </c>
      <c r="ES91" s="100" t="s">
        <v>124</v>
      </c>
      <c r="ET91" s="101">
        <v>0.5</v>
      </c>
      <c r="FA91" s="100" t="s">
        <v>326</v>
      </c>
      <c r="FB91" s="101">
        <v>37</v>
      </c>
    </row>
    <row r="92" spans="7:158" x14ac:dyDescent="0.25">
      <c r="G92" s="100" t="s">
        <v>125</v>
      </c>
      <c r="H92" s="101">
        <v>10</v>
      </c>
      <c r="J92" s="8"/>
      <c r="K92" s="9"/>
      <c r="L92" s="22"/>
      <c r="M92" s="8"/>
      <c r="N92" s="8"/>
      <c r="O92" s="102" t="s">
        <v>125</v>
      </c>
      <c r="P92" s="101">
        <v>5</v>
      </c>
      <c r="Q92" s="8"/>
      <c r="R92" s="8"/>
      <c r="S92" s="100" t="s">
        <v>125</v>
      </c>
      <c r="T92" s="101">
        <v>49</v>
      </c>
      <c r="W92" s="100" t="s">
        <v>125</v>
      </c>
      <c r="X92" s="101">
        <v>25</v>
      </c>
      <c r="AA92" s="100" t="s">
        <v>125</v>
      </c>
      <c r="AB92" s="101">
        <v>20</v>
      </c>
      <c r="AI92" s="9"/>
      <c r="AJ92" s="22"/>
      <c r="AM92" s="9"/>
      <c r="AN92" s="22"/>
      <c r="AQ92" s="100" t="s">
        <v>125</v>
      </c>
      <c r="AR92" s="101">
        <v>22</v>
      </c>
      <c r="AU92" s="9"/>
      <c r="AV92" s="22"/>
      <c r="AY92" s="100" t="s">
        <v>125</v>
      </c>
      <c r="AZ92" s="101">
        <v>33</v>
      </c>
      <c r="BC92" s="100" t="s">
        <v>125</v>
      </c>
      <c r="BD92" s="101">
        <v>60</v>
      </c>
      <c r="BF92" s="100" t="s">
        <v>125</v>
      </c>
      <c r="BG92" s="101">
        <v>24</v>
      </c>
      <c r="BJ92" s="100" t="s">
        <v>125</v>
      </c>
      <c r="BK92" s="101">
        <v>47</v>
      </c>
      <c r="BN92" s="9"/>
      <c r="BO92" s="22"/>
      <c r="BR92" s="9"/>
      <c r="BS92" s="22"/>
      <c r="BV92" s="9"/>
      <c r="BW92" s="22"/>
      <c r="BZ92" s="9"/>
      <c r="CA92" s="22"/>
      <c r="CD92" s="100" t="s">
        <v>125</v>
      </c>
      <c r="CE92" s="101">
        <v>11</v>
      </c>
      <c r="CH92" s="100" t="s">
        <v>125</v>
      </c>
      <c r="CI92" s="101">
        <v>10</v>
      </c>
      <c r="CL92" s="100" t="s">
        <v>125</v>
      </c>
      <c r="CM92" s="101">
        <v>29</v>
      </c>
      <c r="CP92" s="9"/>
      <c r="CQ92" s="22"/>
      <c r="CT92" s="100" t="s">
        <v>125</v>
      </c>
      <c r="CU92" s="101">
        <v>17</v>
      </c>
      <c r="DB92" s="100" t="s">
        <v>125</v>
      </c>
      <c r="DC92" s="101">
        <v>39</v>
      </c>
      <c r="DF92" s="100" t="s">
        <v>125</v>
      </c>
      <c r="DG92" s="101">
        <v>11</v>
      </c>
      <c r="DJ92" s="100" t="s">
        <v>125</v>
      </c>
      <c r="DK92" s="101">
        <v>39</v>
      </c>
      <c r="DN92" s="100" t="s">
        <v>125</v>
      </c>
      <c r="DO92" s="101">
        <v>21</v>
      </c>
      <c r="DR92" s="100" t="s">
        <v>125</v>
      </c>
      <c r="DS92" s="101">
        <v>32</v>
      </c>
      <c r="DV92" s="100" t="s">
        <v>125</v>
      </c>
      <c r="DW92" s="101">
        <v>52</v>
      </c>
      <c r="DZ92" s="100" t="s">
        <v>125</v>
      </c>
      <c r="EA92" s="101">
        <v>26</v>
      </c>
      <c r="ED92" s="100" t="s">
        <v>125</v>
      </c>
      <c r="EE92" s="101">
        <v>12</v>
      </c>
      <c r="EH92" s="100" t="s">
        <v>125</v>
      </c>
      <c r="EI92" s="101">
        <v>77</v>
      </c>
      <c r="EK92" s="100" t="s">
        <v>125</v>
      </c>
      <c r="EL92" s="101">
        <v>23</v>
      </c>
      <c r="EO92" s="100" t="s">
        <v>125</v>
      </c>
      <c r="EP92" s="101">
        <v>0</v>
      </c>
      <c r="ES92" s="100" t="s">
        <v>125</v>
      </c>
      <c r="ET92" s="101">
        <v>0.5</v>
      </c>
      <c r="FA92" s="100" t="s">
        <v>327</v>
      </c>
      <c r="FB92" s="101">
        <v>38</v>
      </c>
    </row>
    <row r="93" spans="7:158" x14ac:dyDescent="0.25">
      <c r="G93" s="100" t="s">
        <v>126</v>
      </c>
      <c r="H93" s="101">
        <v>11</v>
      </c>
      <c r="J93" s="8"/>
      <c r="K93" s="9"/>
      <c r="L93" s="22"/>
      <c r="M93" s="8"/>
      <c r="N93" s="8"/>
      <c r="O93" s="102" t="s">
        <v>126</v>
      </c>
      <c r="P93" s="101">
        <v>7</v>
      </c>
      <c r="Q93" s="8"/>
      <c r="R93" s="8"/>
      <c r="S93" s="100" t="s">
        <v>126</v>
      </c>
      <c r="T93" s="101">
        <v>48</v>
      </c>
      <c r="W93" s="100" t="s">
        <v>126</v>
      </c>
      <c r="X93" s="101">
        <v>23</v>
      </c>
      <c r="AA93" s="100" t="s">
        <v>126</v>
      </c>
      <c r="AB93" s="101">
        <v>20</v>
      </c>
      <c r="AI93" s="9"/>
      <c r="AJ93" s="22"/>
      <c r="AM93" s="9"/>
      <c r="AN93" s="22"/>
      <c r="AQ93" s="100" t="s">
        <v>126</v>
      </c>
      <c r="AR93" s="101">
        <v>23</v>
      </c>
      <c r="AU93" s="9"/>
      <c r="AV93" s="22"/>
      <c r="AY93" s="100" t="s">
        <v>126</v>
      </c>
      <c r="AZ93" s="101">
        <v>32</v>
      </c>
      <c r="BC93" s="100" t="s">
        <v>126</v>
      </c>
      <c r="BD93" s="101">
        <v>62</v>
      </c>
      <c r="BF93" s="100" t="s">
        <v>126</v>
      </c>
      <c r="BG93" s="101">
        <v>23</v>
      </c>
      <c r="BJ93" s="100" t="s">
        <v>126</v>
      </c>
      <c r="BK93" s="101">
        <v>36</v>
      </c>
      <c r="BN93" s="9"/>
      <c r="BO93" s="22"/>
      <c r="BR93" s="9"/>
      <c r="BS93" s="22"/>
      <c r="BV93" s="9"/>
      <c r="BW93" s="22"/>
      <c r="BZ93" s="9"/>
      <c r="CA93" s="22"/>
      <c r="CD93" s="100" t="s">
        <v>126</v>
      </c>
      <c r="CE93" s="101">
        <v>12</v>
      </c>
      <c r="CH93" s="100" t="s">
        <v>126</v>
      </c>
      <c r="CI93" s="101">
        <v>12</v>
      </c>
      <c r="CL93" s="100" t="s">
        <v>126</v>
      </c>
      <c r="CM93" s="101">
        <v>30</v>
      </c>
      <c r="CP93" s="9"/>
      <c r="CQ93" s="22"/>
      <c r="CT93" s="100" t="s">
        <v>126</v>
      </c>
      <c r="CU93" s="101">
        <v>17</v>
      </c>
      <c r="DB93" s="100" t="s">
        <v>126</v>
      </c>
      <c r="DC93" s="101">
        <v>24</v>
      </c>
      <c r="DF93" s="100" t="s">
        <v>126</v>
      </c>
      <c r="DG93" s="101">
        <v>13</v>
      </c>
      <c r="DJ93" s="100" t="s">
        <v>126</v>
      </c>
      <c r="DK93" s="101">
        <v>43</v>
      </c>
      <c r="DN93" s="100" t="s">
        <v>126</v>
      </c>
      <c r="DO93" s="101">
        <v>16</v>
      </c>
      <c r="DR93" s="100" t="s">
        <v>126</v>
      </c>
      <c r="DS93" s="101">
        <v>24</v>
      </c>
      <c r="DV93" s="100" t="s">
        <v>126</v>
      </c>
      <c r="DW93" s="101">
        <v>41</v>
      </c>
      <c r="DZ93" s="100" t="s">
        <v>126</v>
      </c>
      <c r="EA93" s="101">
        <v>35</v>
      </c>
      <c r="ED93" s="100" t="s">
        <v>126</v>
      </c>
      <c r="EE93" s="101">
        <v>12</v>
      </c>
      <c r="EH93" s="100" t="s">
        <v>126</v>
      </c>
      <c r="EI93" s="101">
        <v>65</v>
      </c>
      <c r="EK93" s="100" t="s">
        <v>126</v>
      </c>
      <c r="EL93" s="101">
        <v>24</v>
      </c>
      <c r="EO93" s="100" t="s">
        <v>126</v>
      </c>
      <c r="EP93" s="101">
        <v>0</v>
      </c>
      <c r="ES93" s="100" t="s">
        <v>126</v>
      </c>
      <c r="ET93" s="101">
        <v>0.6</v>
      </c>
      <c r="FA93" s="100" t="s">
        <v>328</v>
      </c>
      <c r="FB93" s="101">
        <v>41</v>
      </c>
    </row>
    <row r="94" spans="7:158" x14ac:dyDescent="0.25">
      <c r="G94" s="100" t="s">
        <v>127</v>
      </c>
      <c r="H94" s="101">
        <v>12</v>
      </c>
      <c r="J94" s="8"/>
      <c r="K94" s="9"/>
      <c r="L94" s="22"/>
      <c r="M94" s="8"/>
      <c r="N94" s="8"/>
      <c r="O94" s="102" t="s">
        <v>127</v>
      </c>
      <c r="P94" s="101">
        <v>7</v>
      </c>
      <c r="Q94" s="8"/>
      <c r="R94" s="8"/>
      <c r="S94" s="100" t="s">
        <v>127</v>
      </c>
      <c r="T94" s="101">
        <v>48</v>
      </c>
      <c r="W94" s="100" t="s">
        <v>127</v>
      </c>
      <c r="X94" s="101">
        <v>25</v>
      </c>
      <c r="AA94" s="100" t="s">
        <v>127</v>
      </c>
      <c r="AB94" s="101">
        <v>19</v>
      </c>
      <c r="AI94" s="9"/>
      <c r="AJ94" s="22"/>
      <c r="AM94" s="9"/>
      <c r="AN94" s="22"/>
      <c r="AQ94" s="100" t="s">
        <v>127</v>
      </c>
      <c r="AR94" s="101">
        <v>25</v>
      </c>
      <c r="AU94" s="9"/>
      <c r="AV94" s="22"/>
      <c r="AY94" s="100" t="s">
        <v>127</v>
      </c>
      <c r="AZ94" s="101">
        <v>33</v>
      </c>
      <c r="BC94" s="100" t="s">
        <v>127</v>
      </c>
      <c r="BD94" s="101">
        <v>72</v>
      </c>
      <c r="BF94" s="100" t="s">
        <v>127</v>
      </c>
      <c r="BG94" s="101">
        <v>19</v>
      </c>
      <c r="BJ94" s="100" t="s">
        <v>127</v>
      </c>
      <c r="BK94" s="101">
        <v>30</v>
      </c>
      <c r="BN94" s="9"/>
      <c r="BO94" s="22"/>
      <c r="BR94" s="9"/>
      <c r="BS94" s="22"/>
      <c r="BV94" s="9"/>
      <c r="BW94" s="22"/>
      <c r="BZ94" s="9"/>
      <c r="CA94" s="22"/>
      <c r="CD94" s="100" t="s">
        <v>127</v>
      </c>
      <c r="CE94" s="101">
        <v>11</v>
      </c>
      <c r="CH94" s="100" t="s">
        <v>127</v>
      </c>
      <c r="CI94" s="101">
        <v>13</v>
      </c>
      <c r="CL94" s="100" t="s">
        <v>127</v>
      </c>
      <c r="CM94" s="101">
        <v>32</v>
      </c>
      <c r="CP94" s="9"/>
      <c r="CQ94" s="22"/>
      <c r="CT94" s="100" t="s">
        <v>127</v>
      </c>
      <c r="CU94" s="101">
        <v>15</v>
      </c>
      <c r="DB94" s="100" t="s">
        <v>127</v>
      </c>
      <c r="DC94" s="101">
        <v>30</v>
      </c>
      <c r="DF94" s="100" t="s">
        <v>127</v>
      </c>
      <c r="DG94" s="101">
        <v>21</v>
      </c>
      <c r="DJ94" s="100" t="s">
        <v>127</v>
      </c>
      <c r="DK94" s="101">
        <v>42</v>
      </c>
      <c r="DN94" s="100" t="s">
        <v>127</v>
      </c>
      <c r="DO94" s="101">
        <v>17</v>
      </c>
      <c r="DR94" s="100" t="s">
        <v>127</v>
      </c>
      <c r="DS94" s="101">
        <v>39</v>
      </c>
      <c r="DV94" s="100" t="s">
        <v>127</v>
      </c>
      <c r="DW94" s="101">
        <v>48</v>
      </c>
      <c r="DZ94" s="100" t="s">
        <v>127</v>
      </c>
      <c r="EA94" s="101">
        <v>32</v>
      </c>
      <c r="ED94" s="100" t="s">
        <v>127</v>
      </c>
      <c r="EE94" s="101">
        <v>11</v>
      </c>
      <c r="EH94" s="100" t="s">
        <v>127</v>
      </c>
      <c r="EI94" s="101">
        <v>64</v>
      </c>
      <c r="EK94" s="100" t="s">
        <v>127</v>
      </c>
      <c r="EL94" s="101">
        <v>30</v>
      </c>
      <c r="EO94" s="100" t="s">
        <v>127</v>
      </c>
      <c r="EP94" s="101">
        <v>0</v>
      </c>
      <c r="ES94" s="100" t="s">
        <v>127</v>
      </c>
      <c r="ET94" s="101">
        <v>0.9</v>
      </c>
      <c r="FA94" s="100" t="s">
        <v>329</v>
      </c>
      <c r="FB94" s="101">
        <v>40</v>
      </c>
    </row>
    <row r="95" spans="7:158" x14ac:dyDescent="0.25">
      <c r="G95" s="100" t="s">
        <v>128</v>
      </c>
      <c r="H95" s="101">
        <v>13</v>
      </c>
      <c r="J95" s="8"/>
      <c r="K95" s="9"/>
      <c r="L95" s="22"/>
      <c r="M95" s="8"/>
      <c r="N95" s="8"/>
      <c r="O95" s="102" t="s">
        <v>128</v>
      </c>
      <c r="P95" s="101">
        <v>6</v>
      </c>
      <c r="Q95" s="8"/>
      <c r="R95" s="8"/>
      <c r="S95" s="100" t="s">
        <v>128</v>
      </c>
      <c r="T95" s="101">
        <v>53</v>
      </c>
      <c r="W95" s="100" t="s">
        <v>128</v>
      </c>
      <c r="X95" s="101">
        <v>19</v>
      </c>
      <c r="AA95" s="100" t="s">
        <v>128</v>
      </c>
      <c r="AB95" s="101">
        <v>22</v>
      </c>
      <c r="AI95" s="9"/>
      <c r="AJ95" s="22"/>
      <c r="AM95" s="9"/>
      <c r="AN95" s="22"/>
      <c r="AQ95" s="100" t="s">
        <v>128</v>
      </c>
      <c r="AR95" s="101">
        <v>23</v>
      </c>
      <c r="AU95" s="9"/>
      <c r="AV95" s="22"/>
      <c r="AY95" s="100" t="s">
        <v>128</v>
      </c>
      <c r="AZ95" s="101">
        <v>34</v>
      </c>
      <c r="BC95" s="100" t="s">
        <v>128</v>
      </c>
      <c r="BD95" s="101">
        <v>66</v>
      </c>
      <c r="BF95" s="100" t="s">
        <v>128</v>
      </c>
      <c r="BG95" s="101">
        <v>26</v>
      </c>
      <c r="BJ95" s="100" t="s">
        <v>128</v>
      </c>
      <c r="BK95" s="101">
        <v>42</v>
      </c>
      <c r="BN95" s="9"/>
      <c r="BO95" s="22"/>
      <c r="BR95" s="9"/>
      <c r="BS95" s="22"/>
      <c r="BV95" s="9"/>
      <c r="BW95" s="22"/>
      <c r="BZ95" s="9"/>
      <c r="CA95" s="22"/>
      <c r="CD95" s="100" t="s">
        <v>128</v>
      </c>
      <c r="CE95" s="101">
        <v>12</v>
      </c>
      <c r="CH95" s="100" t="s">
        <v>128</v>
      </c>
      <c r="CI95" s="101">
        <v>14</v>
      </c>
      <c r="CL95" s="100" t="s">
        <v>128</v>
      </c>
      <c r="CM95" s="101">
        <v>40</v>
      </c>
      <c r="CP95" s="9"/>
      <c r="CQ95" s="22"/>
      <c r="CT95" s="100" t="s">
        <v>128</v>
      </c>
      <c r="CU95" s="101">
        <v>27</v>
      </c>
      <c r="DB95" s="100" t="s">
        <v>128</v>
      </c>
      <c r="DC95" s="101">
        <v>24</v>
      </c>
      <c r="DF95" s="100" t="s">
        <v>128</v>
      </c>
      <c r="DG95" s="101">
        <v>22</v>
      </c>
      <c r="DJ95" s="100" t="s">
        <v>128</v>
      </c>
      <c r="DK95" s="101">
        <v>44</v>
      </c>
      <c r="DN95" s="100" t="s">
        <v>128</v>
      </c>
      <c r="DO95" s="101">
        <v>17</v>
      </c>
      <c r="DR95" s="100" t="s">
        <v>128</v>
      </c>
      <c r="DS95" s="101">
        <v>38</v>
      </c>
      <c r="DV95" s="100" t="s">
        <v>128</v>
      </c>
      <c r="DW95" s="101">
        <v>41</v>
      </c>
      <c r="DZ95" s="100" t="s">
        <v>128</v>
      </c>
      <c r="EA95" s="101">
        <v>35</v>
      </c>
      <c r="ED95" s="100" t="s">
        <v>128</v>
      </c>
      <c r="EE95" s="101">
        <v>12</v>
      </c>
      <c r="EH95" s="100" t="s">
        <v>128</v>
      </c>
      <c r="EI95" s="101">
        <v>60</v>
      </c>
      <c r="EK95" s="100" t="s">
        <v>128</v>
      </c>
      <c r="EL95" s="101">
        <v>21</v>
      </c>
      <c r="EO95" s="100" t="s">
        <v>128</v>
      </c>
      <c r="EP95" s="101">
        <v>3</v>
      </c>
      <c r="ES95" s="100" t="s">
        <v>128</v>
      </c>
      <c r="ET95" s="101">
        <v>0.7</v>
      </c>
      <c r="FA95" s="100" t="s">
        <v>330</v>
      </c>
      <c r="FB95" s="101">
        <v>41</v>
      </c>
    </row>
    <row r="96" spans="7:158" x14ac:dyDescent="0.25">
      <c r="G96" s="100" t="s">
        <v>129</v>
      </c>
      <c r="H96" s="101">
        <v>15</v>
      </c>
      <c r="J96" s="8"/>
      <c r="K96" s="9"/>
      <c r="L96" s="22"/>
      <c r="M96" s="8"/>
      <c r="N96" s="8"/>
      <c r="O96" s="102" t="s">
        <v>129</v>
      </c>
      <c r="P96" s="101">
        <v>8</v>
      </c>
      <c r="Q96" s="8"/>
      <c r="R96" s="8"/>
      <c r="S96" s="100" t="s">
        <v>129</v>
      </c>
      <c r="T96" s="101">
        <v>53</v>
      </c>
      <c r="W96" s="100" t="s">
        <v>129</v>
      </c>
      <c r="X96" s="101">
        <v>23</v>
      </c>
      <c r="AA96" s="100" t="s">
        <v>129</v>
      </c>
      <c r="AB96" s="101">
        <v>21</v>
      </c>
      <c r="AI96" s="9"/>
      <c r="AJ96" s="22"/>
      <c r="AM96" s="9"/>
      <c r="AN96" s="22"/>
      <c r="AQ96" s="100" t="s">
        <v>129</v>
      </c>
      <c r="AR96" s="101">
        <v>38</v>
      </c>
      <c r="AU96" s="9"/>
      <c r="AV96" s="22"/>
      <c r="AY96" s="100" t="s">
        <v>129</v>
      </c>
      <c r="AZ96" s="101">
        <v>35</v>
      </c>
      <c r="BC96" s="100" t="s">
        <v>129</v>
      </c>
      <c r="BD96" s="101">
        <v>62</v>
      </c>
      <c r="BF96" s="100" t="s">
        <v>129</v>
      </c>
      <c r="BG96" s="101">
        <v>28</v>
      </c>
      <c r="BJ96" s="100" t="s">
        <v>129</v>
      </c>
      <c r="BK96" s="101">
        <v>44</v>
      </c>
      <c r="BN96" s="9"/>
      <c r="BO96" s="22"/>
      <c r="BR96" s="9"/>
      <c r="BS96" s="22"/>
      <c r="BV96" s="9"/>
      <c r="BW96" s="22"/>
      <c r="BZ96" s="9"/>
      <c r="CA96" s="22"/>
      <c r="CD96" s="100" t="s">
        <v>129</v>
      </c>
      <c r="CE96" s="101">
        <v>15</v>
      </c>
      <c r="CH96" s="100" t="s">
        <v>129</v>
      </c>
      <c r="CI96" s="101">
        <v>22</v>
      </c>
      <c r="CL96" s="100" t="s">
        <v>129</v>
      </c>
      <c r="CM96" s="101">
        <v>44</v>
      </c>
      <c r="CP96" s="9"/>
      <c r="CQ96" s="22"/>
      <c r="CT96" s="100" t="s">
        <v>129</v>
      </c>
      <c r="CU96" s="101">
        <v>31</v>
      </c>
      <c r="DB96" s="100" t="s">
        <v>129</v>
      </c>
      <c r="DC96" s="101">
        <v>36</v>
      </c>
      <c r="DF96" s="100" t="s">
        <v>129</v>
      </c>
      <c r="DG96" s="101">
        <v>21</v>
      </c>
      <c r="DJ96" s="100" t="s">
        <v>129</v>
      </c>
      <c r="DK96" s="101">
        <v>49</v>
      </c>
      <c r="DN96" s="100" t="s">
        <v>129</v>
      </c>
      <c r="DO96" s="101">
        <v>16</v>
      </c>
      <c r="DR96" s="100" t="s">
        <v>129</v>
      </c>
      <c r="DS96" s="101">
        <v>49</v>
      </c>
      <c r="DV96" s="100" t="s">
        <v>129</v>
      </c>
      <c r="DW96" s="101">
        <v>45</v>
      </c>
      <c r="DZ96" s="100" t="s">
        <v>129</v>
      </c>
      <c r="EA96" s="101">
        <v>39</v>
      </c>
      <c r="ED96" s="100" t="s">
        <v>129</v>
      </c>
      <c r="EE96" s="101">
        <v>13</v>
      </c>
      <c r="EH96" s="100" t="s">
        <v>129</v>
      </c>
      <c r="EI96" s="101">
        <v>62</v>
      </c>
      <c r="EK96" s="100" t="s">
        <v>129</v>
      </c>
      <c r="EL96" s="101">
        <v>24</v>
      </c>
      <c r="EO96" s="100" t="s">
        <v>129</v>
      </c>
      <c r="EP96" s="101">
        <v>3</v>
      </c>
      <c r="ES96" s="100" t="s">
        <v>129</v>
      </c>
      <c r="ET96" s="101">
        <v>0.8</v>
      </c>
      <c r="FA96" s="100" t="s">
        <v>331</v>
      </c>
      <c r="FB96" s="101">
        <v>47</v>
      </c>
    </row>
    <row r="97" spans="7:158" x14ac:dyDescent="0.25">
      <c r="G97" s="100" t="s">
        <v>130</v>
      </c>
      <c r="H97" s="101">
        <v>18</v>
      </c>
      <c r="J97" s="8"/>
      <c r="K97" s="9"/>
      <c r="L97" s="22"/>
      <c r="M97" s="8"/>
      <c r="N97" s="8"/>
      <c r="O97" s="102" t="s">
        <v>130</v>
      </c>
      <c r="P97" s="101">
        <v>5</v>
      </c>
      <c r="Q97" s="8"/>
      <c r="R97" s="8"/>
      <c r="S97" s="100" t="s">
        <v>130</v>
      </c>
      <c r="T97" s="101">
        <v>56</v>
      </c>
      <c r="W97" s="100" t="s">
        <v>130</v>
      </c>
      <c r="X97" s="101">
        <v>21</v>
      </c>
      <c r="AA97" s="100" t="s">
        <v>130</v>
      </c>
      <c r="AB97" s="101">
        <v>23</v>
      </c>
      <c r="AI97" s="9"/>
      <c r="AJ97" s="22"/>
      <c r="AM97" s="9"/>
      <c r="AN97" s="22"/>
      <c r="AQ97" s="100" t="s">
        <v>130</v>
      </c>
      <c r="AR97" s="101">
        <v>41</v>
      </c>
      <c r="AU97" s="9"/>
      <c r="AV97" s="22"/>
      <c r="AY97" s="100" t="s">
        <v>130</v>
      </c>
      <c r="AZ97" s="101">
        <v>36</v>
      </c>
      <c r="BC97" s="100" t="s">
        <v>130</v>
      </c>
      <c r="BD97" s="101">
        <v>67</v>
      </c>
      <c r="BF97" s="100" t="s">
        <v>130</v>
      </c>
      <c r="BG97" s="101">
        <v>28</v>
      </c>
      <c r="BJ97" s="100" t="s">
        <v>130</v>
      </c>
      <c r="BK97" s="101">
        <v>55</v>
      </c>
      <c r="BN97" s="9"/>
      <c r="BO97" s="22"/>
      <c r="BR97" s="9"/>
      <c r="BS97" s="22"/>
      <c r="BV97" s="9"/>
      <c r="BW97" s="22"/>
      <c r="BZ97" s="9"/>
      <c r="CA97" s="22"/>
      <c r="CD97" s="100" t="s">
        <v>130</v>
      </c>
      <c r="CE97" s="101">
        <v>13</v>
      </c>
      <c r="CH97" s="100" t="s">
        <v>130</v>
      </c>
      <c r="CI97" s="101">
        <v>28</v>
      </c>
      <c r="CL97" s="100" t="s">
        <v>130</v>
      </c>
      <c r="CM97" s="101">
        <v>43</v>
      </c>
      <c r="CP97" s="9"/>
      <c r="CQ97" s="22"/>
      <c r="CT97" s="100" t="s">
        <v>130</v>
      </c>
      <c r="CU97" s="101">
        <v>28</v>
      </c>
      <c r="DB97" s="100" t="s">
        <v>130</v>
      </c>
      <c r="DC97" s="101">
        <v>32</v>
      </c>
      <c r="DF97" s="100" t="s">
        <v>130</v>
      </c>
      <c r="DG97" s="101">
        <v>20</v>
      </c>
      <c r="DJ97" s="100" t="s">
        <v>130</v>
      </c>
      <c r="DK97" s="101">
        <v>50</v>
      </c>
      <c r="DN97" s="100" t="s">
        <v>130</v>
      </c>
      <c r="DO97" s="101">
        <v>19</v>
      </c>
      <c r="DR97" s="100" t="s">
        <v>130</v>
      </c>
      <c r="DS97" s="101">
        <v>55</v>
      </c>
      <c r="DV97" s="100" t="s">
        <v>130</v>
      </c>
      <c r="DW97" s="101">
        <v>61</v>
      </c>
      <c r="DZ97" s="100" t="s">
        <v>130</v>
      </c>
      <c r="EA97" s="101">
        <v>42</v>
      </c>
      <c r="ED97" s="100" t="s">
        <v>130</v>
      </c>
      <c r="EE97" s="101">
        <v>12</v>
      </c>
      <c r="EH97" s="100" t="s">
        <v>130</v>
      </c>
      <c r="EI97" s="101">
        <v>55</v>
      </c>
      <c r="EK97" s="100" t="s">
        <v>130</v>
      </c>
      <c r="EL97" s="101">
        <v>20</v>
      </c>
      <c r="EO97" s="100" t="s">
        <v>130</v>
      </c>
      <c r="EP97" s="101">
        <v>3</v>
      </c>
      <c r="ES97" s="100" t="s">
        <v>130</v>
      </c>
      <c r="ET97" s="101">
        <v>0.9</v>
      </c>
      <c r="FA97" s="100" t="s">
        <v>332</v>
      </c>
      <c r="FB97" s="101">
        <v>47</v>
      </c>
    </row>
    <row r="98" spans="7:158" x14ac:dyDescent="0.25">
      <c r="G98" s="100" t="s">
        <v>131</v>
      </c>
      <c r="H98" s="101">
        <v>19</v>
      </c>
      <c r="J98" s="8"/>
      <c r="K98" s="9"/>
      <c r="L98" s="22"/>
      <c r="M98" s="8"/>
      <c r="N98" s="8"/>
      <c r="O98" s="102" t="s">
        <v>131</v>
      </c>
      <c r="P98" s="101">
        <v>5</v>
      </c>
      <c r="Q98" s="8"/>
      <c r="R98" s="8"/>
      <c r="S98" s="100" t="s">
        <v>131</v>
      </c>
      <c r="T98" s="101">
        <v>60</v>
      </c>
      <c r="W98" s="100" t="s">
        <v>131</v>
      </c>
      <c r="X98" s="101">
        <v>23</v>
      </c>
      <c r="AA98" s="100" t="s">
        <v>131</v>
      </c>
      <c r="AB98" s="101">
        <v>29</v>
      </c>
      <c r="AI98" s="9"/>
      <c r="AJ98" s="22"/>
      <c r="AM98" s="9"/>
      <c r="AN98" s="22"/>
      <c r="AQ98" s="100" t="s">
        <v>131</v>
      </c>
      <c r="AR98" s="101">
        <v>39</v>
      </c>
      <c r="AU98" s="9"/>
      <c r="AV98" s="22"/>
      <c r="AY98" s="100" t="s">
        <v>131</v>
      </c>
      <c r="AZ98" s="101">
        <v>37</v>
      </c>
      <c r="BC98" s="100" t="s">
        <v>131</v>
      </c>
      <c r="BD98" s="101">
        <v>68</v>
      </c>
      <c r="BF98" s="100" t="s">
        <v>131</v>
      </c>
      <c r="BG98" s="101">
        <v>30</v>
      </c>
      <c r="BJ98" s="100" t="s">
        <v>131</v>
      </c>
      <c r="BK98" s="101">
        <v>39</v>
      </c>
      <c r="BN98" s="9"/>
      <c r="BO98" s="22"/>
      <c r="BR98" s="9"/>
      <c r="BS98" s="22"/>
      <c r="BV98" s="9"/>
      <c r="BW98" s="22"/>
      <c r="BZ98" s="9"/>
      <c r="CA98" s="22"/>
      <c r="CD98" s="100" t="s">
        <v>131</v>
      </c>
      <c r="CE98" s="101">
        <v>18</v>
      </c>
      <c r="CH98" s="100" t="s">
        <v>131</v>
      </c>
      <c r="CI98" s="101">
        <v>22</v>
      </c>
      <c r="CL98" s="100" t="s">
        <v>131</v>
      </c>
      <c r="CM98" s="101">
        <v>47</v>
      </c>
      <c r="CP98" s="9"/>
      <c r="CQ98" s="22"/>
      <c r="CT98" s="100" t="s">
        <v>131</v>
      </c>
      <c r="CU98" s="101">
        <v>25</v>
      </c>
      <c r="DB98" s="100" t="s">
        <v>131</v>
      </c>
      <c r="DC98" s="101">
        <v>29</v>
      </c>
      <c r="DF98" s="100" t="s">
        <v>131</v>
      </c>
      <c r="DG98" s="101">
        <v>22</v>
      </c>
      <c r="DJ98" s="100" t="s">
        <v>131</v>
      </c>
      <c r="DK98" s="101">
        <v>52</v>
      </c>
      <c r="DN98" s="100" t="s">
        <v>131</v>
      </c>
      <c r="DO98" s="101">
        <v>18</v>
      </c>
      <c r="DR98" s="100" t="s">
        <v>131</v>
      </c>
      <c r="DS98" s="101">
        <v>47</v>
      </c>
      <c r="DV98" s="100" t="s">
        <v>131</v>
      </c>
      <c r="DW98" s="101">
        <v>32</v>
      </c>
      <c r="DZ98" s="100" t="s">
        <v>131</v>
      </c>
      <c r="EA98" s="101">
        <v>51</v>
      </c>
      <c r="ED98" s="100" t="s">
        <v>131</v>
      </c>
      <c r="EE98" s="101">
        <v>12</v>
      </c>
      <c r="EH98" s="100" t="s">
        <v>131</v>
      </c>
      <c r="EI98" s="101">
        <v>60</v>
      </c>
      <c r="EK98" s="100" t="s">
        <v>131</v>
      </c>
      <c r="EL98" s="101">
        <v>22</v>
      </c>
      <c r="EO98" s="100" t="s">
        <v>131</v>
      </c>
      <c r="EP98" s="101">
        <v>3</v>
      </c>
      <c r="ES98" s="100" t="s">
        <v>131</v>
      </c>
      <c r="ET98" s="101">
        <v>0.8</v>
      </c>
      <c r="FA98" s="100" t="s">
        <v>333</v>
      </c>
      <c r="FB98" s="101">
        <v>52</v>
      </c>
    </row>
    <row r="99" spans="7:158" x14ac:dyDescent="0.25">
      <c r="G99" s="100" t="s">
        <v>132</v>
      </c>
      <c r="H99" s="101">
        <v>18</v>
      </c>
      <c r="J99" s="8"/>
      <c r="K99" s="9"/>
      <c r="L99" s="22"/>
      <c r="M99" s="8"/>
      <c r="N99" s="8"/>
      <c r="O99" s="102" t="s">
        <v>132</v>
      </c>
      <c r="P99" s="101">
        <v>9</v>
      </c>
      <c r="Q99" s="8"/>
      <c r="R99" s="8"/>
      <c r="S99" s="100" t="s">
        <v>132</v>
      </c>
      <c r="T99" s="101">
        <v>57</v>
      </c>
      <c r="W99" s="100" t="s">
        <v>132</v>
      </c>
      <c r="X99" s="101">
        <v>19</v>
      </c>
      <c r="AA99" s="100" t="s">
        <v>132</v>
      </c>
      <c r="AB99" s="101">
        <v>28</v>
      </c>
      <c r="AI99" s="9"/>
      <c r="AJ99" s="22"/>
      <c r="AM99" s="9"/>
      <c r="AN99" s="22"/>
      <c r="AQ99" s="100" t="s">
        <v>132</v>
      </c>
      <c r="AR99" s="101">
        <v>38</v>
      </c>
      <c r="AU99" s="9"/>
      <c r="AV99" s="22"/>
      <c r="AY99" s="100" t="s">
        <v>132</v>
      </c>
      <c r="AZ99" s="101">
        <v>40</v>
      </c>
      <c r="BC99" s="100" t="s">
        <v>132</v>
      </c>
      <c r="BD99" s="101">
        <v>61</v>
      </c>
      <c r="BF99" s="100" t="s">
        <v>132</v>
      </c>
      <c r="BG99" s="101">
        <v>31</v>
      </c>
      <c r="BJ99" s="100" t="s">
        <v>132</v>
      </c>
      <c r="BK99" s="101">
        <v>34</v>
      </c>
      <c r="BN99" s="9"/>
      <c r="BO99" s="22"/>
      <c r="BR99" s="9"/>
      <c r="BS99" s="22"/>
      <c r="BV99" s="9"/>
      <c r="BW99" s="22"/>
      <c r="BZ99" s="9"/>
      <c r="CA99" s="22"/>
      <c r="CD99" s="100" t="s">
        <v>132</v>
      </c>
      <c r="CE99" s="101">
        <v>16</v>
      </c>
      <c r="CH99" s="100" t="s">
        <v>132</v>
      </c>
      <c r="CI99" s="101">
        <v>25</v>
      </c>
      <c r="CL99" s="100" t="s">
        <v>132</v>
      </c>
      <c r="CM99" s="101">
        <v>45</v>
      </c>
      <c r="CP99" s="9"/>
      <c r="CQ99" s="22"/>
      <c r="CT99" s="100" t="s">
        <v>132</v>
      </c>
      <c r="CU99" s="101">
        <v>23</v>
      </c>
      <c r="DB99" s="100" t="s">
        <v>132</v>
      </c>
      <c r="DC99" s="101">
        <v>42</v>
      </c>
      <c r="DF99" s="100" t="s">
        <v>132</v>
      </c>
      <c r="DG99" s="101">
        <v>19</v>
      </c>
      <c r="DJ99" s="100" t="s">
        <v>132</v>
      </c>
      <c r="DK99" s="101">
        <v>49</v>
      </c>
      <c r="DN99" s="100" t="s">
        <v>132</v>
      </c>
      <c r="DO99" s="101">
        <v>18</v>
      </c>
      <c r="DR99" s="100" t="s">
        <v>132</v>
      </c>
      <c r="DS99" s="101">
        <v>51</v>
      </c>
      <c r="DV99" s="100" t="s">
        <v>132</v>
      </c>
      <c r="DW99" s="101">
        <v>54</v>
      </c>
      <c r="DZ99" s="100" t="s">
        <v>132</v>
      </c>
      <c r="EA99" s="101">
        <v>37</v>
      </c>
      <c r="ED99" s="100" t="s">
        <v>132</v>
      </c>
      <c r="EE99" s="101">
        <v>13</v>
      </c>
      <c r="EH99" s="100" t="s">
        <v>132</v>
      </c>
      <c r="EI99" s="101">
        <v>63</v>
      </c>
      <c r="EK99" s="100" t="s">
        <v>132</v>
      </c>
      <c r="EL99" s="101">
        <v>21</v>
      </c>
      <c r="EO99" s="100" t="s">
        <v>132</v>
      </c>
      <c r="EP99" s="101">
        <v>4</v>
      </c>
      <c r="ES99" s="100" t="s">
        <v>132</v>
      </c>
      <c r="ET99" s="101">
        <v>0.7</v>
      </c>
      <c r="FA99" s="100" t="s">
        <v>334</v>
      </c>
      <c r="FB99" s="101">
        <v>53</v>
      </c>
    </row>
    <row r="100" spans="7:158" x14ac:dyDescent="0.25">
      <c r="G100" s="100" t="s">
        <v>133</v>
      </c>
      <c r="H100" s="101">
        <v>20</v>
      </c>
      <c r="J100" s="8"/>
      <c r="K100" s="9"/>
      <c r="L100" s="22"/>
      <c r="M100" s="8"/>
      <c r="N100" s="8"/>
      <c r="O100" s="102" t="s">
        <v>133</v>
      </c>
      <c r="P100" s="101">
        <v>7</v>
      </c>
      <c r="Q100" s="8"/>
      <c r="R100" s="8"/>
      <c r="S100" s="100" t="s">
        <v>133</v>
      </c>
      <c r="T100" s="101">
        <v>57</v>
      </c>
      <c r="W100" s="100" t="s">
        <v>133</v>
      </c>
      <c r="X100" s="101">
        <v>18</v>
      </c>
      <c r="AA100" s="100" t="s">
        <v>133</v>
      </c>
      <c r="AB100" s="101">
        <v>43</v>
      </c>
      <c r="AI100" s="9"/>
      <c r="AJ100" s="22"/>
      <c r="AM100" s="9"/>
      <c r="AN100" s="22"/>
      <c r="AQ100" s="100" t="s">
        <v>133</v>
      </c>
      <c r="AR100" s="101">
        <v>19</v>
      </c>
      <c r="AU100" s="9"/>
      <c r="AV100" s="22"/>
      <c r="AY100" s="100" t="s">
        <v>133</v>
      </c>
      <c r="AZ100" s="101">
        <v>40</v>
      </c>
      <c r="BC100" s="100" t="s">
        <v>133</v>
      </c>
      <c r="BD100" s="101">
        <v>59</v>
      </c>
      <c r="BF100" s="100" t="s">
        <v>133</v>
      </c>
      <c r="BG100" s="101">
        <v>34</v>
      </c>
      <c r="BJ100" s="100" t="s">
        <v>133</v>
      </c>
      <c r="BK100" s="101">
        <v>53</v>
      </c>
      <c r="BN100" s="9"/>
      <c r="BO100" s="22"/>
      <c r="BR100" s="9"/>
      <c r="BS100" s="22"/>
      <c r="BV100" s="9"/>
      <c r="BW100" s="22"/>
      <c r="BZ100" s="9"/>
      <c r="CA100" s="22"/>
      <c r="CD100" s="100" t="s">
        <v>133</v>
      </c>
      <c r="CE100" s="101">
        <v>14</v>
      </c>
      <c r="CH100" s="100" t="s">
        <v>133</v>
      </c>
      <c r="CI100" s="101">
        <v>24</v>
      </c>
      <c r="CL100" s="100" t="s">
        <v>133</v>
      </c>
      <c r="CM100" s="101">
        <v>46</v>
      </c>
      <c r="CP100" s="9"/>
      <c r="CQ100" s="22"/>
      <c r="CT100" s="100" t="s">
        <v>133</v>
      </c>
      <c r="CU100" s="101">
        <v>58</v>
      </c>
      <c r="DB100" s="100" t="s">
        <v>133</v>
      </c>
      <c r="DC100" s="101">
        <v>42</v>
      </c>
      <c r="DF100" s="100" t="s">
        <v>133</v>
      </c>
      <c r="DG100" s="101">
        <v>16</v>
      </c>
      <c r="DJ100" s="100" t="s">
        <v>133</v>
      </c>
      <c r="DK100" s="101">
        <v>51</v>
      </c>
      <c r="DN100" s="100" t="s">
        <v>133</v>
      </c>
      <c r="DO100" s="101">
        <v>21</v>
      </c>
      <c r="DR100" s="100" t="s">
        <v>133</v>
      </c>
      <c r="DS100" s="101">
        <v>49</v>
      </c>
      <c r="DV100" s="100" t="s">
        <v>133</v>
      </c>
      <c r="DW100" s="101">
        <v>53</v>
      </c>
      <c r="DZ100" s="100" t="s">
        <v>133</v>
      </c>
      <c r="EA100" s="101">
        <v>37</v>
      </c>
      <c r="ED100" s="100" t="s">
        <v>133</v>
      </c>
      <c r="EE100" s="101">
        <v>12</v>
      </c>
      <c r="EH100" s="100" t="s">
        <v>133</v>
      </c>
      <c r="EI100" s="101">
        <v>71</v>
      </c>
      <c r="EK100" s="100" t="s">
        <v>133</v>
      </c>
      <c r="EL100" s="101">
        <v>24</v>
      </c>
      <c r="EO100" s="100" t="s">
        <v>133</v>
      </c>
      <c r="EP100" s="101">
        <v>4</v>
      </c>
      <c r="ES100" s="100" t="s">
        <v>133</v>
      </c>
      <c r="ET100" s="101">
        <v>0.8</v>
      </c>
      <c r="FA100" s="100" t="s">
        <v>335</v>
      </c>
      <c r="FB100" s="101">
        <v>51</v>
      </c>
    </row>
    <row r="101" spans="7:158" x14ac:dyDescent="0.25">
      <c r="G101" s="100" t="s">
        <v>134</v>
      </c>
      <c r="H101" s="101">
        <v>22</v>
      </c>
      <c r="J101" s="8"/>
      <c r="K101" s="9"/>
      <c r="L101" s="22"/>
      <c r="M101" s="8"/>
      <c r="N101" s="8"/>
      <c r="O101" s="102" t="s">
        <v>134</v>
      </c>
      <c r="P101" s="101">
        <v>8</v>
      </c>
      <c r="Q101" s="8"/>
      <c r="R101" s="8"/>
      <c r="S101" s="100" t="s">
        <v>134</v>
      </c>
      <c r="T101" s="101">
        <v>60</v>
      </c>
      <c r="W101" s="100" t="s">
        <v>134</v>
      </c>
      <c r="X101" s="101">
        <v>21</v>
      </c>
      <c r="AA101" s="100" t="s">
        <v>134</v>
      </c>
      <c r="AB101" s="101">
        <v>65</v>
      </c>
      <c r="AI101" s="9"/>
      <c r="AJ101" s="22"/>
      <c r="AM101" s="9"/>
      <c r="AN101" s="22"/>
      <c r="AQ101" s="100" t="s">
        <v>134</v>
      </c>
      <c r="AR101" s="101">
        <v>66</v>
      </c>
      <c r="AU101" s="9"/>
      <c r="AV101" s="22"/>
      <c r="AY101" s="100" t="s">
        <v>134</v>
      </c>
      <c r="AZ101" s="101">
        <v>39</v>
      </c>
      <c r="BC101" s="100" t="s">
        <v>134</v>
      </c>
      <c r="BD101" s="101">
        <v>62</v>
      </c>
      <c r="BF101" s="100" t="s">
        <v>134</v>
      </c>
      <c r="BG101" s="101">
        <v>37</v>
      </c>
      <c r="BJ101" s="100" t="s">
        <v>134</v>
      </c>
      <c r="BK101" s="101">
        <v>55</v>
      </c>
      <c r="BN101" s="9"/>
      <c r="BO101" s="22"/>
      <c r="BR101" s="9"/>
      <c r="BS101" s="22"/>
      <c r="BV101" s="9"/>
      <c r="BW101" s="22"/>
      <c r="BZ101" s="9"/>
      <c r="CA101" s="22"/>
      <c r="CD101" s="100" t="s">
        <v>134</v>
      </c>
      <c r="CE101" s="101">
        <v>14</v>
      </c>
      <c r="CH101" s="100" t="s">
        <v>134</v>
      </c>
      <c r="CI101" s="101">
        <v>28</v>
      </c>
      <c r="CL101" s="100" t="s">
        <v>134</v>
      </c>
      <c r="CM101" s="101">
        <v>49</v>
      </c>
      <c r="CP101" s="9"/>
      <c r="CQ101" s="22"/>
      <c r="CT101" s="100" t="s">
        <v>134</v>
      </c>
      <c r="CU101" s="101">
        <v>59</v>
      </c>
      <c r="DB101" s="100" t="s">
        <v>134</v>
      </c>
      <c r="DC101" s="101">
        <v>45</v>
      </c>
      <c r="DF101" s="100" t="s">
        <v>134</v>
      </c>
      <c r="DG101" s="101">
        <v>24</v>
      </c>
      <c r="DJ101" s="100" t="s">
        <v>134</v>
      </c>
      <c r="DK101" s="101">
        <v>53</v>
      </c>
      <c r="DN101" s="100" t="s">
        <v>134</v>
      </c>
      <c r="DO101" s="101">
        <v>18</v>
      </c>
      <c r="DR101" s="100" t="s">
        <v>134</v>
      </c>
      <c r="DS101" s="101">
        <v>53</v>
      </c>
      <c r="DV101" s="100" t="s">
        <v>134</v>
      </c>
      <c r="DW101" s="101">
        <v>45</v>
      </c>
      <c r="DZ101" s="100" t="s">
        <v>134</v>
      </c>
      <c r="EA101" s="101">
        <v>38</v>
      </c>
      <c r="ED101" s="100" t="s">
        <v>134</v>
      </c>
      <c r="EE101" s="101">
        <v>12</v>
      </c>
      <c r="EH101" s="100" t="s">
        <v>134</v>
      </c>
      <c r="EI101" s="101">
        <v>100</v>
      </c>
      <c r="EK101" s="100" t="s">
        <v>134</v>
      </c>
      <c r="EL101" s="101">
        <v>26</v>
      </c>
      <c r="EO101" s="100" t="s">
        <v>134</v>
      </c>
      <c r="EP101" s="101">
        <v>4</v>
      </c>
      <c r="ES101" s="100" t="s">
        <v>134</v>
      </c>
      <c r="ET101" s="101">
        <v>0.12</v>
      </c>
      <c r="FA101" s="100" t="s">
        <v>336</v>
      </c>
      <c r="FB101" s="101">
        <v>53</v>
      </c>
    </row>
    <row r="102" spans="7:158" x14ac:dyDescent="0.25">
      <c r="G102" s="100" t="s">
        <v>135</v>
      </c>
      <c r="H102" s="101">
        <v>24</v>
      </c>
      <c r="J102" s="8"/>
      <c r="K102" s="9"/>
      <c r="L102" s="22"/>
      <c r="M102" s="8"/>
      <c r="N102" s="8"/>
      <c r="O102" s="102" t="s">
        <v>135</v>
      </c>
      <c r="P102" s="101">
        <v>4</v>
      </c>
      <c r="Q102" s="8"/>
      <c r="R102" s="8"/>
      <c r="S102" s="100" t="s">
        <v>135</v>
      </c>
      <c r="T102" s="101">
        <v>62</v>
      </c>
      <c r="W102" s="100" t="s">
        <v>135</v>
      </c>
      <c r="X102" s="101">
        <v>24</v>
      </c>
      <c r="AA102" s="100" t="s">
        <v>135</v>
      </c>
      <c r="AB102" s="101">
        <v>74</v>
      </c>
      <c r="AI102" s="9"/>
      <c r="AJ102" s="22"/>
      <c r="AM102" s="9"/>
      <c r="AN102" s="22"/>
      <c r="AQ102" s="100" t="s">
        <v>135</v>
      </c>
      <c r="AR102" s="101">
        <v>42</v>
      </c>
      <c r="AU102" s="9"/>
      <c r="AV102" s="22"/>
      <c r="AY102" s="100" t="s">
        <v>135</v>
      </c>
      <c r="AZ102" s="101">
        <v>42</v>
      </c>
      <c r="BC102" s="100" t="s">
        <v>135</v>
      </c>
      <c r="BD102" s="101">
        <v>65</v>
      </c>
      <c r="BF102" s="100" t="s">
        <v>135</v>
      </c>
      <c r="BG102" s="101">
        <v>32</v>
      </c>
      <c r="BJ102" s="100" t="s">
        <v>135</v>
      </c>
      <c r="BK102" s="101">
        <v>44</v>
      </c>
      <c r="BN102" s="9"/>
      <c r="BO102" s="22"/>
      <c r="BR102" s="9"/>
      <c r="BS102" s="22"/>
      <c r="BV102" s="9"/>
      <c r="BW102" s="22"/>
      <c r="BZ102" s="9"/>
      <c r="CA102" s="22"/>
      <c r="CD102" s="100" t="s">
        <v>135</v>
      </c>
      <c r="CE102" s="101">
        <v>15</v>
      </c>
      <c r="CH102" s="100" t="s">
        <v>135</v>
      </c>
      <c r="CI102" s="101">
        <v>25</v>
      </c>
      <c r="CL102" s="100" t="s">
        <v>135</v>
      </c>
      <c r="CM102" s="101">
        <v>48</v>
      </c>
      <c r="CP102" s="9"/>
      <c r="CQ102" s="22"/>
      <c r="CT102" s="100" t="s">
        <v>135</v>
      </c>
      <c r="CU102" s="101">
        <v>50</v>
      </c>
      <c r="DB102" s="100" t="s">
        <v>135</v>
      </c>
      <c r="DC102" s="101">
        <v>47</v>
      </c>
      <c r="DF102" s="100" t="s">
        <v>135</v>
      </c>
      <c r="DG102" s="101">
        <v>22</v>
      </c>
      <c r="DJ102" s="100" t="s">
        <v>135</v>
      </c>
      <c r="DK102" s="101">
        <v>58</v>
      </c>
      <c r="DN102" s="100" t="s">
        <v>135</v>
      </c>
      <c r="DO102" s="101">
        <v>23</v>
      </c>
      <c r="DR102" s="100" t="s">
        <v>135</v>
      </c>
      <c r="DS102" s="101">
        <v>53</v>
      </c>
      <c r="DV102" s="100" t="s">
        <v>135</v>
      </c>
      <c r="DW102" s="101">
        <v>44</v>
      </c>
      <c r="DZ102" s="100" t="s">
        <v>135</v>
      </c>
      <c r="EA102" s="101">
        <v>42</v>
      </c>
      <c r="ED102" s="100" t="s">
        <v>135</v>
      </c>
      <c r="EE102" s="101">
        <v>12</v>
      </c>
      <c r="EH102" s="100" t="s">
        <v>135</v>
      </c>
      <c r="EI102" s="101">
        <v>80</v>
      </c>
      <c r="EK102" s="100" t="s">
        <v>135</v>
      </c>
      <c r="EL102" s="101">
        <v>26</v>
      </c>
      <c r="EO102" s="100" t="s">
        <v>135</v>
      </c>
      <c r="EP102" s="101">
        <v>4</v>
      </c>
      <c r="ES102" s="100" t="s">
        <v>135</v>
      </c>
      <c r="ET102" s="101">
        <v>0.8</v>
      </c>
      <c r="FA102" s="100" t="s">
        <v>337</v>
      </c>
      <c r="FB102" s="101">
        <v>54</v>
      </c>
    </row>
    <row r="103" spans="7:158" x14ac:dyDescent="0.25">
      <c r="G103" s="100" t="s">
        <v>136</v>
      </c>
      <c r="H103" s="101">
        <v>21</v>
      </c>
      <c r="J103" s="8"/>
      <c r="K103" s="9"/>
      <c r="L103" s="22"/>
      <c r="M103" s="8"/>
      <c r="N103" s="8"/>
      <c r="O103" s="102" t="s">
        <v>136</v>
      </c>
      <c r="P103" s="101">
        <v>7</v>
      </c>
      <c r="Q103" s="8"/>
      <c r="R103" s="8"/>
      <c r="S103" s="100" t="s">
        <v>136</v>
      </c>
      <c r="T103" s="101">
        <v>57</v>
      </c>
      <c r="W103" s="100" t="s">
        <v>136</v>
      </c>
      <c r="X103" s="101">
        <v>24</v>
      </c>
      <c r="AA103" s="100" t="s">
        <v>136</v>
      </c>
      <c r="AB103" s="101">
        <v>55</v>
      </c>
      <c r="AI103" s="9"/>
      <c r="AJ103" s="22"/>
      <c r="AM103" s="9"/>
      <c r="AN103" s="22"/>
      <c r="AQ103" s="100" t="s">
        <v>136</v>
      </c>
      <c r="AR103" s="101">
        <v>44</v>
      </c>
      <c r="AU103" s="9"/>
      <c r="AV103" s="22"/>
      <c r="AY103" s="100" t="s">
        <v>136</v>
      </c>
      <c r="AZ103" s="101">
        <v>46</v>
      </c>
      <c r="BC103" s="100" t="s">
        <v>136</v>
      </c>
      <c r="BD103" s="101">
        <v>53</v>
      </c>
      <c r="BF103" s="100" t="s">
        <v>136</v>
      </c>
      <c r="BG103" s="101">
        <v>33</v>
      </c>
      <c r="BJ103" s="100" t="s">
        <v>136</v>
      </c>
      <c r="BK103" s="101">
        <v>53</v>
      </c>
      <c r="BN103" s="9"/>
      <c r="BO103" s="22"/>
      <c r="BR103" s="9"/>
      <c r="BS103" s="22"/>
      <c r="BV103" s="9"/>
      <c r="BW103" s="22"/>
      <c r="BZ103" s="9"/>
      <c r="CA103" s="22"/>
      <c r="CD103" s="100" t="s">
        <v>136</v>
      </c>
      <c r="CE103" s="101">
        <v>15</v>
      </c>
      <c r="CH103" s="100" t="s">
        <v>136</v>
      </c>
      <c r="CI103" s="101">
        <v>24</v>
      </c>
      <c r="CL103" s="100" t="s">
        <v>136</v>
      </c>
      <c r="CM103" s="101">
        <v>46</v>
      </c>
      <c r="CP103" s="9"/>
      <c r="CQ103" s="22"/>
      <c r="CT103" s="100" t="s">
        <v>136</v>
      </c>
      <c r="CU103" s="101">
        <v>39</v>
      </c>
      <c r="DB103" s="100" t="s">
        <v>136</v>
      </c>
      <c r="DC103" s="101">
        <v>41</v>
      </c>
      <c r="DF103" s="100" t="s">
        <v>136</v>
      </c>
      <c r="DG103" s="101">
        <v>23</v>
      </c>
      <c r="DJ103" s="100" t="s">
        <v>136</v>
      </c>
      <c r="DK103" s="101">
        <v>53</v>
      </c>
      <c r="DN103" s="100" t="s">
        <v>136</v>
      </c>
      <c r="DO103" s="101">
        <v>19</v>
      </c>
      <c r="DR103" s="100" t="s">
        <v>136</v>
      </c>
      <c r="DS103" s="101">
        <v>41</v>
      </c>
      <c r="DV103" s="100" t="s">
        <v>136</v>
      </c>
      <c r="DW103" s="101">
        <v>44</v>
      </c>
      <c r="DZ103" s="100" t="s">
        <v>136</v>
      </c>
      <c r="EA103" s="101">
        <v>41</v>
      </c>
      <c r="ED103" s="100" t="s">
        <v>136</v>
      </c>
      <c r="EE103" s="101">
        <v>16</v>
      </c>
      <c r="EH103" s="100" t="s">
        <v>136</v>
      </c>
      <c r="EI103" s="101">
        <v>68</v>
      </c>
      <c r="EK103" s="100" t="s">
        <v>136</v>
      </c>
      <c r="EL103" s="101">
        <v>23</v>
      </c>
      <c r="EO103" s="100" t="s">
        <v>136</v>
      </c>
      <c r="EP103" s="101">
        <v>4</v>
      </c>
      <c r="ES103" s="100" t="s">
        <v>136</v>
      </c>
      <c r="ET103" s="101">
        <v>0.9</v>
      </c>
      <c r="FA103" s="100" t="s">
        <v>338</v>
      </c>
      <c r="FB103" s="101">
        <v>49</v>
      </c>
    </row>
    <row r="104" spans="7:158" x14ac:dyDescent="0.25">
      <c r="G104" s="100" t="s">
        <v>137</v>
      </c>
      <c r="H104" s="101">
        <v>25</v>
      </c>
      <c r="J104" s="8"/>
      <c r="K104" s="8"/>
      <c r="L104" s="8"/>
      <c r="M104" s="8"/>
      <c r="N104" s="8"/>
      <c r="O104" s="102" t="s">
        <v>137</v>
      </c>
      <c r="P104" s="101">
        <v>8</v>
      </c>
      <c r="Q104" s="8"/>
      <c r="R104" s="8"/>
      <c r="S104" s="100" t="s">
        <v>137</v>
      </c>
      <c r="T104" s="101">
        <v>60</v>
      </c>
      <c r="W104" s="100" t="s">
        <v>137</v>
      </c>
      <c r="X104" s="101">
        <v>22</v>
      </c>
      <c r="AA104" s="100" t="s">
        <v>137</v>
      </c>
      <c r="AB104" s="101">
        <v>40</v>
      </c>
      <c r="AQ104" s="100" t="s">
        <v>137</v>
      </c>
      <c r="AR104" s="101">
        <v>38</v>
      </c>
      <c r="AY104" s="100" t="s">
        <v>137</v>
      </c>
      <c r="AZ104" s="101">
        <v>40</v>
      </c>
      <c r="BC104" s="100" t="s">
        <v>137</v>
      </c>
      <c r="BD104" s="101">
        <v>56</v>
      </c>
      <c r="BF104" s="100" t="s">
        <v>137</v>
      </c>
      <c r="BG104" s="101">
        <v>34</v>
      </c>
      <c r="BJ104" s="100" t="s">
        <v>137</v>
      </c>
      <c r="BK104" s="101">
        <v>55</v>
      </c>
      <c r="CD104" s="100" t="s">
        <v>137</v>
      </c>
      <c r="CE104" s="101">
        <v>16</v>
      </c>
      <c r="CH104" s="100" t="s">
        <v>137</v>
      </c>
      <c r="CI104" s="101">
        <v>28</v>
      </c>
      <c r="CL104" s="100" t="s">
        <v>137</v>
      </c>
      <c r="CM104" s="101">
        <v>50</v>
      </c>
      <c r="CT104" s="100" t="s">
        <v>137</v>
      </c>
      <c r="CU104" s="101">
        <v>55</v>
      </c>
      <c r="DB104" s="100" t="s">
        <v>137</v>
      </c>
      <c r="DC104" s="101">
        <v>44</v>
      </c>
      <c r="DF104" s="100" t="s">
        <v>137</v>
      </c>
      <c r="DG104" s="101">
        <v>22</v>
      </c>
      <c r="DJ104" s="100" t="s">
        <v>137</v>
      </c>
      <c r="DK104" s="101">
        <v>59</v>
      </c>
      <c r="DN104" s="100" t="s">
        <v>137</v>
      </c>
      <c r="DO104" s="101">
        <v>22</v>
      </c>
      <c r="DR104" s="100" t="s">
        <v>137</v>
      </c>
      <c r="DS104" s="101">
        <v>59</v>
      </c>
      <c r="DV104" s="100" t="s">
        <v>137</v>
      </c>
      <c r="DW104" s="101">
        <v>52</v>
      </c>
      <c r="DZ104" s="100" t="s">
        <v>137</v>
      </c>
      <c r="EA104" s="101">
        <v>39</v>
      </c>
      <c r="ED104" s="100" t="s">
        <v>137</v>
      </c>
      <c r="EE104" s="101">
        <v>13</v>
      </c>
      <c r="EH104" s="100" t="s">
        <v>137</v>
      </c>
      <c r="EI104" s="101">
        <v>75</v>
      </c>
      <c r="EK104" s="100" t="s">
        <v>137</v>
      </c>
      <c r="EL104" s="101">
        <v>23</v>
      </c>
      <c r="EO104" s="100" t="s">
        <v>137</v>
      </c>
      <c r="EP104" s="101">
        <v>5</v>
      </c>
      <c r="ES104" s="100" t="s">
        <v>137</v>
      </c>
      <c r="ET104" s="101">
        <v>0.7</v>
      </c>
      <c r="FA104" s="100" t="s">
        <v>339</v>
      </c>
      <c r="FB104" s="101">
        <v>57</v>
      </c>
    </row>
    <row r="105" spans="7:158" x14ac:dyDescent="0.25">
      <c r="G105" s="100" t="s">
        <v>138</v>
      </c>
      <c r="H105" s="101">
        <v>24</v>
      </c>
      <c r="J105" s="8"/>
      <c r="K105" s="8"/>
      <c r="L105" s="8"/>
      <c r="M105" s="8"/>
      <c r="N105" s="8"/>
      <c r="O105" s="102" t="s">
        <v>138</v>
      </c>
      <c r="P105" s="101">
        <v>8</v>
      </c>
      <c r="Q105" s="8"/>
      <c r="R105" s="8"/>
      <c r="S105" s="100" t="s">
        <v>138</v>
      </c>
      <c r="T105" s="101">
        <v>59</v>
      </c>
      <c r="W105" s="100" t="s">
        <v>138</v>
      </c>
      <c r="X105" s="101">
        <v>20</v>
      </c>
      <c r="AA105" s="100" t="s">
        <v>138</v>
      </c>
      <c r="AB105" s="101">
        <v>39</v>
      </c>
      <c r="AQ105" s="100" t="s">
        <v>138</v>
      </c>
      <c r="AR105" s="101">
        <v>35</v>
      </c>
      <c r="AY105" s="100" t="s">
        <v>138</v>
      </c>
      <c r="AZ105" s="101">
        <v>41</v>
      </c>
      <c r="BC105" s="100" t="s">
        <v>138</v>
      </c>
      <c r="BD105" s="101">
        <v>56</v>
      </c>
      <c r="BF105" s="100" t="s">
        <v>138</v>
      </c>
      <c r="BG105" s="101">
        <v>34</v>
      </c>
      <c r="BJ105" s="100" t="s">
        <v>138</v>
      </c>
      <c r="BK105" s="101">
        <v>61</v>
      </c>
      <c r="CD105" s="100" t="s">
        <v>138</v>
      </c>
      <c r="CE105" s="101">
        <v>15</v>
      </c>
      <c r="CH105" s="100" t="s">
        <v>138</v>
      </c>
      <c r="CI105" s="101">
        <v>25</v>
      </c>
      <c r="CL105" s="100" t="s">
        <v>138</v>
      </c>
      <c r="CM105" s="101">
        <v>47</v>
      </c>
      <c r="CT105" s="100" t="s">
        <v>138</v>
      </c>
      <c r="CU105" s="101">
        <v>44</v>
      </c>
      <c r="DB105" s="100" t="s">
        <v>138</v>
      </c>
      <c r="DC105" s="101">
        <v>53</v>
      </c>
      <c r="DF105" s="100" t="s">
        <v>138</v>
      </c>
      <c r="DG105" s="101">
        <v>29</v>
      </c>
      <c r="DJ105" s="100" t="s">
        <v>138</v>
      </c>
      <c r="DK105" s="101">
        <v>57</v>
      </c>
      <c r="DN105" s="100" t="s">
        <v>138</v>
      </c>
      <c r="DO105" s="101">
        <v>22</v>
      </c>
      <c r="DR105" s="100" t="s">
        <v>138</v>
      </c>
      <c r="DS105" s="101">
        <v>48</v>
      </c>
      <c r="DV105" s="100" t="s">
        <v>138</v>
      </c>
      <c r="DW105" s="101">
        <v>53</v>
      </c>
      <c r="DZ105" s="100" t="s">
        <v>138</v>
      </c>
      <c r="EA105" s="101">
        <v>42</v>
      </c>
      <c r="ED105" s="100" t="s">
        <v>138</v>
      </c>
      <c r="EE105" s="101">
        <v>12</v>
      </c>
      <c r="EH105" s="100" t="s">
        <v>138</v>
      </c>
      <c r="EI105" s="101">
        <v>72</v>
      </c>
      <c r="EK105" s="100" t="s">
        <v>138</v>
      </c>
      <c r="EL105" s="101">
        <v>28</v>
      </c>
      <c r="EO105" s="100" t="s">
        <v>138</v>
      </c>
      <c r="EP105" s="101">
        <v>6</v>
      </c>
      <c r="ES105" s="100" t="s">
        <v>138</v>
      </c>
      <c r="ET105" s="101">
        <v>0.6</v>
      </c>
      <c r="FA105" s="100" t="s">
        <v>340</v>
      </c>
      <c r="FB105" s="101">
        <v>56</v>
      </c>
    </row>
    <row r="106" spans="7:158" x14ac:dyDescent="0.25">
      <c r="G106" s="100" t="s">
        <v>139</v>
      </c>
      <c r="H106" s="101">
        <v>26</v>
      </c>
      <c r="J106" s="8"/>
      <c r="K106" s="8"/>
      <c r="L106" s="8"/>
      <c r="M106" s="8"/>
      <c r="N106" s="8"/>
      <c r="O106" s="102" t="s">
        <v>139</v>
      </c>
      <c r="P106" s="101">
        <v>7</v>
      </c>
      <c r="Q106" s="8"/>
      <c r="R106" s="8"/>
      <c r="S106" s="100" t="s">
        <v>139</v>
      </c>
      <c r="T106" s="101">
        <v>60</v>
      </c>
      <c r="W106" s="100" t="s">
        <v>139</v>
      </c>
      <c r="X106" s="101">
        <v>22</v>
      </c>
      <c r="AA106" s="100" t="s">
        <v>139</v>
      </c>
      <c r="AB106" s="101">
        <v>32</v>
      </c>
      <c r="AQ106" s="100" t="s">
        <v>139</v>
      </c>
      <c r="AR106" s="101">
        <v>58</v>
      </c>
      <c r="AY106" s="100" t="s">
        <v>139</v>
      </c>
      <c r="AZ106" s="101">
        <v>39</v>
      </c>
      <c r="BC106" s="100" t="s">
        <v>139</v>
      </c>
      <c r="BD106" s="101">
        <v>58</v>
      </c>
      <c r="BF106" s="100" t="s">
        <v>139</v>
      </c>
      <c r="BG106" s="101">
        <v>33</v>
      </c>
      <c r="BJ106" s="100" t="s">
        <v>139</v>
      </c>
      <c r="BK106" s="101">
        <v>62</v>
      </c>
      <c r="CD106" s="100" t="s">
        <v>139</v>
      </c>
      <c r="CE106" s="101">
        <v>15</v>
      </c>
      <c r="CH106" s="100" t="s">
        <v>139</v>
      </c>
      <c r="CI106" s="101">
        <v>26</v>
      </c>
      <c r="CL106" s="100" t="s">
        <v>139</v>
      </c>
      <c r="CM106" s="101">
        <v>54</v>
      </c>
      <c r="CT106" s="100" t="s">
        <v>139</v>
      </c>
      <c r="CU106" s="101">
        <v>54</v>
      </c>
      <c r="DB106" s="100" t="s">
        <v>139</v>
      </c>
      <c r="DC106" s="101">
        <v>40</v>
      </c>
      <c r="DF106" s="100" t="s">
        <v>139</v>
      </c>
      <c r="DG106" s="101">
        <v>30</v>
      </c>
      <c r="DJ106" s="100" t="s">
        <v>139</v>
      </c>
      <c r="DK106" s="101">
        <v>56</v>
      </c>
      <c r="DN106" s="100" t="s">
        <v>139</v>
      </c>
      <c r="DO106" s="101">
        <v>24</v>
      </c>
      <c r="DR106" s="100" t="s">
        <v>139</v>
      </c>
      <c r="DS106" s="101">
        <v>52</v>
      </c>
      <c r="DV106" s="100" t="s">
        <v>139</v>
      </c>
      <c r="DW106" s="101">
        <v>56</v>
      </c>
      <c r="DZ106" s="100" t="s">
        <v>139</v>
      </c>
      <c r="EA106" s="101">
        <v>37</v>
      </c>
      <c r="ED106" s="100" t="s">
        <v>139</v>
      </c>
      <c r="EE106" s="101">
        <v>16</v>
      </c>
      <c r="EH106" s="100" t="s">
        <v>139</v>
      </c>
      <c r="EI106" s="101">
        <v>69</v>
      </c>
      <c r="EK106" s="100" t="s">
        <v>139</v>
      </c>
      <c r="EL106" s="101">
        <v>26</v>
      </c>
      <c r="EO106" s="100" t="s">
        <v>139</v>
      </c>
      <c r="EP106" s="101">
        <v>4</v>
      </c>
      <c r="ES106" s="100" t="s">
        <v>139</v>
      </c>
      <c r="ET106" s="101">
        <v>0.7</v>
      </c>
      <c r="FA106" s="100" t="s">
        <v>341</v>
      </c>
      <c r="FB106" s="101">
        <v>53</v>
      </c>
    </row>
    <row r="107" spans="7:158" x14ac:dyDescent="0.25">
      <c r="G107" s="100" t="s">
        <v>140</v>
      </c>
      <c r="H107" s="101">
        <v>18</v>
      </c>
      <c r="J107" s="8"/>
      <c r="K107" s="8"/>
      <c r="L107" s="8"/>
      <c r="M107" s="8"/>
      <c r="N107" s="8"/>
      <c r="O107" s="102" t="s">
        <v>140</v>
      </c>
      <c r="P107" s="101">
        <v>6</v>
      </c>
      <c r="Q107" s="8"/>
      <c r="R107" s="8"/>
      <c r="S107" s="100" t="s">
        <v>140</v>
      </c>
      <c r="T107" s="101">
        <v>54</v>
      </c>
      <c r="W107" s="100" t="s">
        <v>140</v>
      </c>
      <c r="X107" s="101">
        <v>20</v>
      </c>
      <c r="AA107" s="100" t="s">
        <v>140</v>
      </c>
      <c r="AB107" s="101">
        <v>29</v>
      </c>
      <c r="AQ107" s="100" t="s">
        <v>140</v>
      </c>
      <c r="AR107" s="101">
        <v>40</v>
      </c>
      <c r="AY107" s="100" t="s">
        <v>140</v>
      </c>
      <c r="AZ107" s="101">
        <v>39</v>
      </c>
      <c r="BC107" s="100" t="s">
        <v>140</v>
      </c>
      <c r="BD107" s="101">
        <v>63</v>
      </c>
      <c r="BF107" s="100" t="s">
        <v>140</v>
      </c>
      <c r="BG107" s="101">
        <v>28</v>
      </c>
      <c r="BJ107" s="100" t="s">
        <v>140</v>
      </c>
      <c r="BK107" s="101">
        <v>53</v>
      </c>
      <c r="CD107" s="100" t="s">
        <v>140</v>
      </c>
      <c r="CE107" s="101">
        <v>13</v>
      </c>
      <c r="CH107" s="100" t="s">
        <v>140</v>
      </c>
      <c r="CI107" s="101">
        <v>22</v>
      </c>
      <c r="CL107" s="100" t="s">
        <v>140</v>
      </c>
      <c r="CM107" s="101">
        <v>39</v>
      </c>
      <c r="CT107" s="100" t="s">
        <v>140</v>
      </c>
      <c r="CU107" s="101">
        <v>27</v>
      </c>
      <c r="DB107" s="100" t="s">
        <v>140</v>
      </c>
      <c r="DC107" s="101">
        <v>35</v>
      </c>
      <c r="DF107" s="100" t="s">
        <v>140</v>
      </c>
      <c r="DG107" s="101">
        <v>35</v>
      </c>
      <c r="DJ107" s="100" t="s">
        <v>140</v>
      </c>
      <c r="DK107" s="101">
        <v>49</v>
      </c>
      <c r="DN107" s="100" t="s">
        <v>140</v>
      </c>
      <c r="DO107" s="101">
        <v>21</v>
      </c>
      <c r="DR107" s="100" t="s">
        <v>140</v>
      </c>
      <c r="DS107" s="101">
        <v>39</v>
      </c>
      <c r="DV107" s="100" t="s">
        <v>140</v>
      </c>
      <c r="DW107" s="101">
        <v>83</v>
      </c>
      <c r="DZ107" s="100" t="s">
        <v>140</v>
      </c>
      <c r="EA107" s="101">
        <v>39</v>
      </c>
      <c r="ED107" s="100" t="s">
        <v>140</v>
      </c>
      <c r="EE107" s="101">
        <v>11</v>
      </c>
      <c r="EH107" s="100" t="s">
        <v>140</v>
      </c>
      <c r="EI107" s="101">
        <v>65</v>
      </c>
      <c r="EK107" s="100" t="s">
        <v>140</v>
      </c>
      <c r="EL107" s="101">
        <v>22</v>
      </c>
      <c r="EO107" s="100" t="s">
        <v>140</v>
      </c>
      <c r="EP107" s="101">
        <v>3</v>
      </c>
      <c r="ES107" s="100" t="s">
        <v>140</v>
      </c>
      <c r="ET107" s="101">
        <v>0.8</v>
      </c>
      <c r="FA107" s="100" t="s">
        <v>342</v>
      </c>
      <c r="FB107" s="101">
        <v>47</v>
      </c>
    </row>
    <row r="108" spans="7:158" x14ac:dyDescent="0.25">
      <c r="G108" s="100" t="s">
        <v>141</v>
      </c>
      <c r="H108" s="101">
        <v>26</v>
      </c>
      <c r="J108" s="8"/>
      <c r="K108" s="8"/>
      <c r="L108" s="8"/>
      <c r="M108" s="8"/>
      <c r="N108" s="8"/>
      <c r="O108" s="102" t="s">
        <v>141</v>
      </c>
      <c r="P108" s="101">
        <v>6</v>
      </c>
      <c r="Q108" s="8"/>
      <c r="R108" s="8"/>
      <c r="S108" s="100" t="s">
        <v>141</v>
      </c>
      <c r="T108" s="101">
        <v>57</v>
      </c>
      <c r="W108" s="100" t="s">
        <v>141</v>
      </c>
      <c r="X108" s="101">
        <v>20</v>
      </c>
      <c r="AA108" s="100" t="s">
        <v>141</v>
      </c>
      <c r="AB108" s="101">
        <v>30</v>
      </c>
      <c r="AQ108" s="100" t="s">
        <v>141</v>
      </c>
      <c r="AR108" s="101">
        <v>41</v>
      </c>
      <c r="AY108" s="100" t="s">
        <v>141</v>
      </c>
      <c r="AZ108" s="101">
        <v>50</v>
      </c>
      <c r="BC108" s="100" t="s">
        <v>141</v>
      </c>
      <c r="BD108" s="101">
        <v>58</v>
      </c>
      <c r="BF108" s="100" t="s">
        <v>141</v>
      </c>
      <c r="BG108" s="101">
        <v>33</v>
      </c>
      <c r="BJ108" s="100" t="s">
        <v>141</v>
      </c>
      <c r="BK108" s="101">
        <v>69</v>
      </c>
      <c r="CD108" s="100" t="s">
        <v>141</v>
      </c>
      <c r="CE108" s="101">
        <v>17</v>
      </c>
      <c r="CH108" s="100" t="s">
        <v>141</v>
      </c>
      <c r="CI108" s="101">
        <v>28</v>
      </c>
      <c r="CL108" s="100" t="s">
        <v>141</v>
      </c>
      <c r="CM108" s="101">
        <v>53</v>
      </c>
      <c r="CT108" s="100" t="s">
        <v>141</v>
      </c>
      <c r="CU108" s="101">
        <v>49</v>
      </c>
      <c r="DB108" s="100" t="s">
        <v>141</v>
      </c>
      <c r="DC108" s="101">
        <v>45</v>
      </c>
      <c r="DF108" s="100" t="s">
        <v>141</v>
      </c>
      <c r="DG108" s="101">
        <v>25</v>
      </c>
      <c r="DJ108" s="100" t="s">
        <v>141</v>
      </c>
      <c r="DK108" s="101">
        <v>60</v>
      </c>
      <c r="DN108" s="100" t="s">
        <v>141</v>
      </c>
      <c r="DO108" s="101">
        <v>23</v>
      </c>
      <c r="DR108" s="100" t="s">
        <v>141</v>
      </c>
      <c r="DS108" s="101">
        <v>37</v>
      </c>
      <c r="DV108" s="100" t="s">
        <v>141</v>
      </c>
      <c r="DW108" s="101">
        <v>69</v>
      </c>
      <c r="DZ108" s="100" t="s">
        <v>141</v>
      </c>
      <c r="EA108" s="101">
        <v>37</v>
      </c>
      <c r="ED108" s="100" t="s">
        <v>141</v>
      </c>
      <c r="EE108" s="101">
        <v>14</v>
      </c>
      <c r="EH108" s="100" t="s">
        <v>141</v>
      </c>
      <c r="EI108" s="101">
        <v>71</v>
      </c>
      <c r="EK108" s="100" t="s">
        <v>141</v>
      </c>
      <c r="EL108" s="101">
        <v>25</v>
      </c>
      <c r="EO108" s="100" t="s">
        <v>141</v>
      </c>
      <c r="EP108" s="101">
        <v>3</v>
      </c>
      <c r="ES108" s="100" t="s">
        <v>141</v>
      </c>
      <c r="ET108" s="101">
        <v>0.7</v>
      </c>
      <c r="FA108" s="100" t="s">
        <v>343</v>
      </c>
      <c r="FB108" s="101">
        <v>57</v>
      </c>
    </row>
    <row r="109" spans="7:158" x14ac:dyDescent="0.25">
      <c r="G109" s="100" t="s">
        <v>142</v>
      </c>
      <c r="H109" s="101">
        <v>24</v>
      </c>
      <c r="J109" s="8"/>
      <c r="K109" s="8"/>
      <c r="L109" s="8"/>
      <c r="M109" s="8"/>
      <c r="N109" s="8"/>
      <c r="O109" s="102" t="s">
        <v>142</v>
      </c>
      <c r="P109" s="101">
        <v>9</v>
      </c>
      <c r="Q109" s="8"/>
      <c r="R109" s="8"/>
      <c r="S109" s="100" t="s">
        <v>142</v>
      </c>
      <c r="T109" s="101">
        <v>61</v>
      </c>
      <c r="W109" s="100" t="s">
        <v>142</v>
      </c>
      <c r="X109" s="101">
        <v>19</v>
      </c>
      <c r="AA109" s="100" t="s">
        <v>142</v>
      </c>
      <c r="AB109" s="101">
        <v>27</v>
      </c>
      <c r="AQ109" s="100" t="s">
        <v>142</v>
      </c>
      <c r="AR109" s="101">
        <v>53</v>
      </c>
      <c r="AY109" s="100" t="s">
        <v>142</v>
      </c>
      <c r="AZ109" s="101">
        <v>44</v>
      </c>
      <c r="BC109" s="100" t="s">
        <v>142</v>
      </c>
      <c r="BD109" s="101">
        <v>62</v>
      </c>
      <c r="BF109" s="100" t="s">
        <v>142</v>
      </c>
      <c r="BG109" s="101">
        <v>38</v>
      </c>
      <c r="BJ109" s="100" t="s">
        <v>142</v>
      </c>
      <c r="BK109" s="101">
        <v>46</v>
      </c>
      <c r="CD109" s="100" t="s">
        <v>142</v>
      </c>
      <c r="CE109" s="101">
        <v>15</v>
      </c>
      <c r="CH109" s="100" t="s">
        <v>142</v>
      </c>
      <c r="CI109" s="101">
        <v>28</v>
      </c>
      <c r="CL109" s="100" t="s">
        <v>142</v>
      </c>
      <c r="CM109" s="101">
        <v>53</v>
      </c>
      <c r="CT109" s="100" t="s">
        <v>142</v>
      </c>
      <c r="CU109" s="101">
        <v>31</v>
      </c>
      <c r="DB109" s="100" t="s">
        <v>142</v>
      </c>
      <c r="DC109" s="101">
        <v>49</v>
      </c>
      <c r="DF109" s="100" t="s">
        <v>142</v>
      </c>
      <c r="DG109" s="101">
        <v>21</v>
      </c>
      <c r="DJ109" s="100" t="s">
        <v>142</v>
      </c>
      <c r="DK109" s="101">
        <v>54</v>
      </c>
      <c r="DN109" s="100" t="s">
        <v>142</v>
      </c>
      <c r="DO109" s="101">
        <v>21</v>
      </c>
      <c r="DR109" s="100" t="s">
        <v>142</v>
      </c>
      <c r="DS109" s="101">
        <v>36</v>
      </c>
      <c r="DV109" s="100" t="s">
        <v>142</v>
      </c>
      <c r="DW109" s="101">
        <v>54</v>
      </c>
      <c r="DZ109" s="100" t="s">
        <v>142</v>
      </c>
      <c r="EA109" s="101">
        <v>27</v>
      </c>
      <c r="ED109" s="100" t="s">
        <v>142</v>
      </c>
      <c r="EE109" s="101">
        <v>12</v>
      </c>
      <c r="EH109" s="100" t="s">
        <v>142</v>
      </c>
      <c r="EI109" s="101">
        <v>59</v>
      </c>
      <c r="EK109" s="100" t="s">
        <v>142</v>
      </c>
      <c r="EL109" s="101">
        <v>20</v>
      </c>
      <c r="EO109" s="100" t="s">
        <v>142</v>
      </c>
      <c r="EP109" s="101">
        <v>3</v>
      </c>
      <c r="ES109" s="100" t="s">
        <v>142</v>
      </c>
      <c r="ET109" s="101">
        <v>0.9</v>
      </c>
      <c r="FA109" s="100" t="s">
        <v>344</v>
      </c>
      <c r="FB109" s="101">
        <v>53</v>
      </c>
    </row>
    <row r="110" spans="7:158" x14ac:dyDescent="0.25">
      <c r="G110" s="100" t="s">
        <v>143</v>
      </c>
      <c r="H110" s="101">
        <v>18</v>
      </c>
      <c r="J110" s="8"/>
      <c r="K110" s="8"/>
      <c r="L110" s="8"/>
      <c r="M110" s="8"/>
      <c r="N110" s="8"/>
      <c r="O110" s="102" t="s">
        <v>143</v>
      </c>
      <c r="P110" s="101">
        <v>4</v>
      </c>
      <c r="Q110" s="8"/>
      <c r="R110" s="8"/>
      <c r="S110" s="100" t="s">
        <v>143</v>
      </c>
      <c r="T110" s="101">
        <v>52</v>
      </c>
      <c r="W110" s="100" t="s">
        <v>143</v>
      </c>
      <c r="X110" s="101">
        <v>17</v>
      </c>
      <c r="AA110" s="100" t="s">
        <v>143</v>
      </c>
      <c r="AB110" s="101">
        <v>22</v>
      </c>
      <c r="AQ110" s="100" t="s">
        <v>143</v>
      </c>
      <c r="AR110" s="101">
        <v>31</v>
      </c>
      <c r="AY110" s="100" t="s">
        <v>143</v>
      </c>
      <c r="AZ110" s="101">
        <v>38</v>
      </c>
      <c r="BC110" s="100" t="s">
        <v>143</v>
      </c>
      <c r="BD110" s="101">
        <v>56</v>
      </c>
      <c r="BF110" s="100" t="s">
        <v>143</v>
      </c>
      <c r="BG110" s="101">
        <v>27</v>
      </c>
      <c r="BJ110" s="100" t="s">
        <v>143</v>
      </c>
      <c r="BK110" s="101">
        <v>28</v>
      </c>
      <c r="CD110" s="100" t="s">
        <v>143</v>
      </c>
      <c r="CE110" s="101">
        <v>12</v>
      </c>
      <c r="CH110" s="100" t="s">
        <v>143</v>
      </c>
      <c r="CI110" s="101">
        <v>24</v>
      </c>
      <c r="CL110" s="100" t="s">
        <v>143</v>
      </c>
      <c r="CM110" s="101">
        <v>41</v>
      </c>
      <c r="CT110" s="100" t="s">
        <v>143</v>
      </c>
      <c r="CU110" s="101">
        <v>25</v>
      </c>
      <c r="DB110" s="100" t="s">
        <v>143</v>
      </c>
      <c r="DC110" s="101">
        <v>31</v>
      </c>
      <c r="DF110" s="100" t="s">
        <v>143</v>
      </c>
      <c r="DG110" s="101">
        <v>16</v>
      </c>
      <c r="DJ110" s="100" t="s">
        <v>143</v>
      </c>
      <c r="DK110" s="101">
        <v>45</v>
      </c>
      <c r="DN110" s="100" t="s">
        <v>143</v>
      </c>
      <c r="DO110" s="101">
        <v>16</v>
      </c>
      <c r="DR110" s="100" t="s">
        <v>143</v>
      </c>
      <c r="DS110" s="101">
        <v>28</v>
      </c>
      <c r="DV110" s="100" t="s">
        <v>143</v>
      </c>
      <c r="DW110" s="101">
        <v>73</v>
      </c>
      <c r="DZ110" s="100" t="s">
        <v>143</v>
      </c>
      <c r="EA110" s="101">
        <v>39</v>
      </c>
      <c r="ED110" s="100" t="s">
        <v>143</v>
      </c>
      <c r="EE110" s="101">
        <v>13</v>
      </c>
      <c r="EH110" s="100" t="s">
        <v>143</v>
      </c>
      <c r="EI110" s="101">
        <v>61</v>
      </c>
      <c r="EK110" s="100" t="s">
        <v>143</v>
      </c>
      <c r="EL110" s="101">
        <v>20</v>
      </c>
      <c r="EO110" s="100" t="s">
        <v>143</v>
      </c>
      <c r="EP110" s="101">
        <v>3</v>
      </c>
      <c r="ES110" s="100" t="s">
        <v>143</v>
      </c>
      <c r="ET110" s="101">
        <v>0.4</v>
      </c>
      <c r="FA110" s="100" t="s">
        <v>345</v>
      </c>
      <c r="FB110" s="101">
        <v>46</v>
      </c>
    </row>
    <row r="111" spans="7:158" x14ac:dyDescent="0.25">
      <c r="G111" s="100" t="s">
        <v>144</v>
      </c>
      <c r="H111" s="101">
        <v>7</v>
      </c>
      <c r="J111" s="8"/>
      <c r="K111" s="8"/>
      <c r="L111" s="8"/>
      <c r="M111" s="8"/>
      <c r="N111" s="8"/>
      <c r="O111" s="102" t="s">
        <v>144</v>
      </c>
      <c r="P111" s="101">
        <v>3</v>
      </c>
      <c r="Q111" s="8"/>
      <c r="R111" s="8"/>
      <c r="S111" s="100" t="s">
        <v>144</v>
      </c>
      <c r="T111" s="101">
        <v>36</v>
      </c>
      <c r="W111" s="100" t="s">
        <v>144</v>
      </c>
      <c r="X111" s="101">
        <v>17</v>
      </c>
      <c r="AA111" s="100" t="s">
        <v>144</v>
      </c>
      <c r="AB111" s="101">
        <v>14</v>
      </c>
      <c r="AQ111" s="100" t="s">
        <v>144</v>
      </c>
      <c r="AR111" s="101">
        <v>23</v>
      </c>
      <c r="AY111" s="100" t="s">
        <v>144</v>
      </c>
      <c r="AZ111" s="101">
        <v>32</v>
      </c>
      <c r="BC111" s="100" t="s">
        <v>144</v>
      </c>
      <c r="BD111" s="101">
        <v>55</v>
      </c>
      <c r="BF111" s="100" t="s">
        <v>144</v>
      </c>
      <c r="BG111" s="101">
        <v>18</v>
      </c>
      <c r="BJ111" s="100" t="s">
        <v>144</v>
      </c>
      <c r="BK111" s="101">
        <v>15</v>
      </c>
      <c r="CD111" s="100" t="s">
        <v>144</v>
      </c>
      <c r="CE111" s="101">
        <v>8</v>
      </c>
      <c r="CH111" s="100" t="s">
        <v>144</v>
      </c>
      <c r="CI111" s="101">
        <v>8</v>
      </c>
      <c r="CL111" s="100" t="s">
        <v>144</v>
      </c>
      <c r="CM111" s="101">
        <v>15</v>
      </c>
      <c r="CT111" s="100" t="s">
        <v>144</v>
      </c>
      <c r="CU111" s="101">
        <v>21</v>
      </c>
      <c r="DB111" s="100" t="s">
        <v>144</v>
      </c>
      <c r="DC111" s="101">
        <v>12</v>
      </c>
      <c r="DF111" s="100" t="s">
        <v>144</v>
      </c>
      <c r="DG111" s="101">
        <v>11</v>
      </c>
      <c r="DJ111" s="100" t="s">
        <v>144</v>
      </c>
      <c r="DK111" s="101">
        <v>24</v>
      </c>
      <c r="DN111" s="100" t="s">
        <v>144</v>
      </c>
      <c r="DO111" s="101">
        <v>8</v>
      </c>
      <c r="DR111" s="100" t="s">
        <v>144</v>
      </c>
      <c r="DS111" s="101">
        <v>13</v>
      </c>
      <c r="DV111" s="100" t="s">
        <v>144</v>
      </c>
      <c r="DW111" s="101">
        <v>76</v>
      </c>
      <c r="DZ111" s="100" t="s">
        <v>144</v>
      </c>
      <c r="EA111" s="101">
        <v>27</v>
      </c>
      <c r="ED111" s="100" t="s">
        <v>144</v>
      </c>
      <c r="EE111" s="101">
        <v>100</v>
      </c>
      <c r="EH111" s="100" t="s">
        <v>144</v>
      </c>
      <c r="EI111" s="101">
        <v>32</v>
      </c>
      <c r="EK111" s="100" t="s">
        <v>144</v>
      </c>
      <c r="EL111" s="101">
        <v>13</v>
      </c>
      <c r="EO111" s="100" t="s">
        <v>144</v>
      </c>
      <c r="EP111" s="101">
        <v>3</v>
      </c>
      <c r="ES111" s="100" t="s">
        <v>144</v>
      </c>
      <c r="ET111" s="101">
        <v>0.4</v>
      </c>
      <c r="FA111" s="100" t="s">
        <v>346</v>
      </c>
      <c r="FB111" s="101">
        <v>21</v>
      </c>
    </row>
    <row r="112" spans="7:158" ht="15.75" thickBot="1" x14ac:dyDescent="0.3">
      <c r="G112" s="100" t="s">
        <v>145</v>
      </c>
      <c r="H112" s="101">
        <v>8</v>
      </c>
      <c r="J112" s="8"/>
      <c r="K112" s="8"/>
      <c r="L112" s="8"/>
      <c r="M112" s="8"/>
      <c r="N112" s="8"/>
      <c r="O112" s="102" t="s">
        <v>145</v>
      </c>
      <c r="P112" s="101">
        <v>4</v>
      </c>
      <c r="Q112" s="8"/>
      <c r="R112" s="8"/>
      <c r="S112" s="100" t="s">
        <v>145</v>
      </c>
      <c r="T112" s="101">
        <v>39</v>
      </c>
      <c r="W112" s="100" t="s">
        <v>145</v>
      </c>
      <c r="X112" s="101">
        <v>18</v>
      </c>
      <c r="AA112" s="100" t="s">
        <v>145</v>
      </c>
      <c r="AB112" s="101">
        <v>26</v>
      </c>
      <c r="AQ112" s="100" t="s">
        <v>145</v>
      </c>
      <c r="AR112" s="101">
        <v>23</v>
      </c>
      <c r="AY112" s="100" t="s">
        <v>145</v>
      </c>
      <c r="AZ112" s="101">
        <v>34</v>
      </c>
      <c r="BC112" s="100" t="s">
        <v>145</v>
      </c>
      <c r="BD112" s="101">
        <v>56</v>
      </c>
      <c r="BF112" s="100" t="s">
        <v>145</v>
      </c>
      <c r="BG112" s="101">
        <v>18</v>
      </c>
      <c r="BJ112" s="100" t="s">
        <v>145</v>
      </c>
      <c r="BK112" s="101">
        <v>25</v>
      </c>
      <c r="CD112" s="100" t="s">
        <v>145</v>
      </c>
      <c r="CE112" s="101">
        <v>10</v>
      </c>
      <c r="CH112" s="100" t="s">
        <v>145</v>
      </c>
      <c r="CI112" s="101">
        <v>8</v>
      </c>
      <c r="CL112" s="100" t="s">
        <v>145</v>
      </c>
      <c r="CM112" s="101">
        <v>17</v>
      </c>
      <c r="CT112" s="100" t="s">
        <v>145</v>
      </c>
      <c r="CU112" s="101">
        <v>21</v>
      </c>
      <c r="DB112" s="100" t="s">
        <v>145</v>
      </c>
      <c r="DC112" s="101">
        <v>18</v>
      </c>
      <c r="DF112" s="100" t="s">
        <v>145</v>
      </c>
      <c r="DG112" s="101">
        <v>11</v>
      </c>
      <c r="DJ112" s="100" t="s">
        <v>145</v>
      </c>
      <c r="DK112" s="101">
        <v>29</v>
      </c>
      <c r="DN112" s="100" t="s">
        <v>145</v>
      </c>
      <c r="DO112" s="101">
        <v>8</v>
      </c>
      <c r="DR112" s="100" t="s">
        <v>145</v>
      </c>
      <c r="DS112" s="101">
        <v>26</v>
      </c>
      <c r="DV112" s="100" t="s">
        <v>145</v>
      </c>
      <c r="DW112" s="101">
        <v>42</v>
      </c>
      <c r="DZ112" s="100" t="s">
        <v>145</v>
      </c>
      <c r="EA112" s="101">
        <v>47</v>
      </c>
      <c r="ED112" s="100" t="s">
        <v>145</v>
      </c>
      <c r="EE112" s="101">
        <v>16</v>
      </c>
      <c r="EH112" s="100" t="s">
        <v>145</v>
      </c>
      <c r="EI112" s="101">
        <v>40</v>
      </c>
      <c r="EK112" s="100" t="s">
        <v>145</v>
      </c>
      <c r="EL112" s="101">
        <v>21</v>
      </c>
      <c r="EO112" s="100" t="s">
        <v>145</v>
      </c>
      <c r="EP112" s="101">
        <v>3</v>
      </c>
      <c r="ES112" s="104" t="s">
        <v>145</v>
      </c>
      <c r="ET112" s="105">
        <v>0.3</v>
      </c>
      <c r="FA112" s="104" t="s">
        <v>347</v>
      </c>
      <c r="FB112" s="105">
        <v>30</v>
      </c>
    </row>
    <row r="113" spans="3:175" x14ac:dyDescent="0.25">
      <c r="G113" s="8"/>
      <c r="H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</row>
    <row r="114" spans="3:175" x14ac:dyDescent="0.25">
      <c r="AZ114" s="4"/>
    </row>
    <row r="115" spans="3:175" x14ac:dyDescent="0.25">
      <c r="AZ115" s="4"/>
    </row>
    <row r="116" spans="3:175" s="76" customFormat="1" ht="221.25" customHeight="1" x14ac:dyDescent="0.25">
      <c r="AE116" s="77"/>
      <c r="AF116" s="78"/>
    </row>
    <row r="117" spans="3:175" s="76" customFormat="1" ht="221.25" customHeight="1" x14ac:dyDescent="0.25">
      <c r="AE117" s="77"/>
      <c r="AF117" s="78"/>
    </row>
    <row r="121" spans="3:175" ht="15.75" thickBot="1" x14ac:dyDescent="0.3">
      <c r="G121" s="8"/>
    </row>
    <row r="122" spans="3:175" ht="15.75" thickBot="1" x14ac:dyDescent="0.3">
      <c r="D122" s="106" t="s">
        <v>221</v>
      </c>
      <c r="E122" s="80" t="s">
        <v>355</v>
      </c>
    </row>
    <row r="123" spans="3:175" ht="15.75" thickBot="1" x14ac:dyDescent="0.3">
      <c r="C123" s="53" t="s">
        <v>233</v>
      </c>
      <c r="D123" s="15" t="s">
        <v>219</v>
      </c>
      <c r="E123" s="50">
        <f ca="1">INDIRECT(CONCATENATE("Trends!B",F123))</f>
        <v>0.63903846153846133</v>
      </c>
      <c r="F123" s="124">
        <v>2</v>
      </c>
      <c r="G123" s="8"/>
    </row>
    <row r="124" spans="3:175" ht="15.75" thickBot="1" x14ac:dyDescent="0.3">
      <c r="C124" s="54" t="s">
        <v>233</v>
      </c>
      <c r="D124" s="15" t="s">
        <v>1</v>
      </c>
      <c r="E124" s="50">
        <f t="shared" ref="E124:E159" ca="1" si="0">INDIRECT(CONCATENATE("Trends!B",F124))</f>
        <v>48.083333333333336</v>
      </c>
      <c r="F124" s="124">
        <v>3</v>
      </c>
    </row>
    <row r="125" spans="3:175" ht="15.75" thickBot="1" x14ac:dyDescent="0.3">
      <c r="C125" s="54" t="s">
        <v>233</v>
      </c>
      <c r="D125" s="15" t="s">
        <v>2</v>
      </c>
      <c r="E125" s="50">
        <f t="shared" ca="1" si="0"/>
        <v>6.0192307692307692</v>
      </c>
      <c r="F125" s="124">
        <v>4</v>
      </c>
      <c r="H125" s="8"/>
    </row>
    <row r="126" spans="3:175" ht="15.75" thickBot="1" x14ac:dyDescent="0.3">
      <c r="C126" s="54" t="s">
        <v>233</v>
      </c>
      <c r="D126" s="15" t="s">
        <v>3</v>
      </c>
      <c r="E126" s="50">
        <f t="shared" ca="1" si="0"/>
        <v>53.96153846153846</v>
      </c>
      <c r="F126" s="124">
        <v>5</v>
      </c>
      <c r="H126" s="8"/>
    </row>
    <row r="127" spans="3:175" ht="15.75" thickBot="1" x14ac:dyDescent="0.3">
      <c r="C127" s="54" t="s">
        <v>233</v>
      </c>
      <c r="D127" s="15" t="s">
        <v>4</v>
      </c>
      <c r="E127" s="50">
        <f t="shared" ca="1" si="0"/>
        <v>23.23076923076923</v>
      </c>
      <c r="F127" s="124">
        <v>6</v>
      </c>
      <c r="H127" s="8"/>
    </row>
    <row r="128" spans="3:175" ht="15.75" thickBot="1" x14ac:dyDescent="0.3">
      <c r="C128" s="54" t="s">
        <v>233</v>
      </c>
      <c r="D128" s="15" t="s">
        <v>5</v>
      </c>
      <c r="E128" s="50">
        <f t="shared" ca="1" si="0"/>
        <v>26.557692307692307</v>
      </c>
      <c r="F128" s="124">
        <v>7</v>
      </c>
      <c r="H128" s="8"/>
    </row>
    <row r="129" spans="3:8" ht="15.75" thickBot="1" x14ac:dyDescent="0.3">
      <c r="C129" s="54" t="s">
        <v>233</v>
      </c>
      <c r="D129" s="15" t="s">
        <v>7</v>
      </c>
      <c r="E129" s="50">
        <f t="shared" ca="1" si="0"/>
        <v>5.083333333333333</v>
      </c>
      <c r="F129" s="124">
        <v>8</v>
      </c>
      <c r="H129" s="8"/>
    </row>
    <row r="130" spans="3:8" ht="15.75" thickBot="1" x14ac:dyDescent="0.3">
      <c r="C130" s="54" t="s">
        <v>233</v>
      </c>
      <c r="D130" s="15" t="s">
        <v>8</v>
      </c>
      <c r="E130" s="50">
        <f t="shared" ca="1" si="0"/>
        <v>39.75</v>
      </c>
      <c r="F130" s="124">
        <v>9</v>
      </c>
      <c r="H130" s="8"/>
    </row>
    <row r="131" spans="3:8" ht="15.75" thickBot="1" x14ac:dyDescent="0.3">
      <c r="C131" s="54" t="s">
        <v>233</v>
      </c>
      <c r="D131" s="38" t="s">
        <v>9</v>
      </c>
      <c r="E131" s="50">
        <f t="shared" ca="1" si="0"/>
        <v>27.833333333333332</v>
      </c>
      <c r="F131" s="124">
        <v>10</v>
      </c>
      <c r="H131" s="8"/>
    </row>
    <row r="132" spans="3:8" ht="15.75" thickBot="1" x14ac:dyDescent="0.3">
      <c r="C132" s="54" t="s">
        <v>233</v>
      </c>
      <c r="D132" s="15" t="s">
        <v>10</v>
      </c>
      <c r="E132" s="50">
        <f t="shared" ca="1" si="0"/>
        <v>34.269230769230766</v>
      </c>
      <c r="F132" s="124">
        <v>11</v>
      </c>
      <c r="H132" s="8"/>
    </row>
    <row r="133" spans="3:8" ht="15.75" thickBot="1" x14ac:dyDescent="0.3">
      <c r="C133" s="54" t="s">
        <v>233</v>
      </c>
      <c r="D133" s="15" t="s">
        <v>12</v>
      </c>
      <c r="E133" s="50">
        <f t="shared" ca="1" si="0"/>
        <v>26</v>
      </c>
      <c r="F133" s="124">
        <v>12</v>
      </c>
      <c r="H133" s="8"/>
    </row>
    <row r="134" spans="3:8" ht="15.75" thickBot="1" x14ac:dyDescent="0.3">
      <c r="C134" s="54" t="s">
        <v>233</v>
      </c>
      <c r="D134" s="15" t="s">
        <v>11</v>
      </c>
      <c r="E134" s="50">
        <f t="shared" ca="1" si="0"/>
        <v>37.192307692307693</v>
      </c>
      <c r="F134" s="124">
        <v>13</v>
      </c>
      <c r="H134" s="8"/>
    </row>
    <row r="135" spans="3:8" ht="15.75" thickBot="1" x14ac:dyDescent="0.3">
      <c r="C135" s="54" t="s">
        <v>233</v>
      </c>
      <c r="D135" s="15" t="s">
        <v>19</v>
      </c>
      <c r="E135" s="50">
        <f t="shared" ca="1" si="0"/>
        <v>14.634615384615385</v>
      </c>
      <c r="F135" s="124">
        <v>14</v>
      </c>
      <c r="H135" s="8"/>
    </row>
    <row r="136" spans="3:8" ht="15.75" thickBot="1" x14ac:dyDescent="0.3">
      <c r="C136" s="55" t="s">
        <v>235</v>
      </c>
      <c r="D136" s="15" t="s">
        <v>13</v>
      </c>
      <c r="E136" s="50">
        <f t="shared" ca="1" si="0"/>
        <v>44.865384615384613</v>
      </c>
      <c r="F136" s="124">
        <v>15</v>
      </c>
      <c r="H136" s="8"/>
    </row>
    <row r="137" spans="3:8" ht="15.75" thickBot="1" x14ac:dyDescent="0.3">
      <c r="C137" s="55" t="s">
        <v>235</v>
      </c>
      <c r="D137" s="15" t="s">
        <v>15</v>
      </c>
      <c r="E137" s="50">
        <f t="shared" ca="1" si="0"/>
        <v>45.71153846153846</v>
      </c>
      <c r="F137" s="124">
        <v>16</v>
      </c>
      <c r="H137" s="8"/>
    </row>
    <row r="138" spans="3:8" ht="15.75" thickBot="1" x14ac:dyDescent="0.3">
      <c r="C138" s="55" t="s">
        <v>235</v>
      </c>
      <c r="D138" s="15" t="s">
        <v>16</v>
      </c>
      <c r="E138" s="50">
        <f t="shared" ca="1" si="0"/>
        <v>13.666666666666666</v>
      </c>
      <c r="F138" s="124">
        <v>17</v>
      </c>
      <c r="H138" s="8"/>
    </row>
    <row r="139" spans="3:8" ht="15.75" thickBot="1" x14ac:dyDescent="0.3">
      <c r="C139" s="55" t="s">
        <v>235</v>
      </c>
      <c r="D139" s="15" t="s">
        <v>17</v>
      </c>
      <c r="E139" s="50">
        <f t="shared" ca="1" si="0"/>
        <v>15.166666666666666</v>
      </c>
      <c r="F139" s="124">
        <v>18</v>
      </c>
      <c r="H139" s="8"/>
    </row>
    <row r="140" spans="3:8" ht="15.75" thickBot="1" x14ac:dyDescent="0.3">
      <c r="C140" s="55" t="s">
        <v>235</v>
      </c>
      <c r="D140" s="15" t="s">
        <v>187</v>
      </c>
      <c r="E140" s="50">
        <f t="shared" ca="1" si="0"/>
        <v>7.75</v>
      </c>
      <c r="F140" s="124">
        <v>19</v>
      </c>
      <c r="H140" s="8"/>
    </row>
    <row r="141" spans="3:8" ht="15.75" thickBot="1" x14ac:dyDescent="0.3">
      <c r="C141" s="55" t="s">
        <v>235</v>
      </c>
      <c r="D141" s="15" t="s">
        <v>18</v>
      </c>
      <c r="E141" s="50">
        <f t="shared" ca="1" si="0"/>
        <v>36</v>
      </c>
      <c r="F141" s="124">
        <v>20</v>
      </c>
      <c r="H141" s="8"/>
    </row>
    <row r="142" spans="3:8" ht="15.75" thickBot="1" x14ac:dyDescent="0.3">
      <c r="C142" s="56" t="s">
        <v>234</v>
      </c>
      <c r="D142" s="15" t="s">
        <v>20</v>
      </c>
      <c r="E142" s="50">
        <f t="shared" ca="1" si="0"/>
        <v>20.884615384615383</v>
      </c>
      <c r="F142" s="124">
        <v>21</v>
      </c>
      <c r="H142" s="8"/>
    </row>
    <row r="143" spans="3:8" ht="15.75" thickBot="1" x14ac:dyDescent="0.3">
      <c r="C143" s="56" t="s">
        <v>234</v>
      </c>
      <c r="D143" s="15" t="s">
        <v>21</v>
      </c>
      <c r="E143" s="50">
        <f t="shared" ca="1" si="0"/>
        <v>18.5</v>
      </c>
      <c r="F143" s="124">
        <v>22</v>
      </c>
      <c r="H143" s="8"/>
    </row>
    <row r="144" spans="3:8" ht="15.75" thickBot="1" x14ac:dyDescent="0.3">
      <c r="C144" s="56" t="s">
        <v>234</v>
      </c>
      <c r="D144" s="15" t="s">
        <v>22</v>
      </c>
      <c r="E144" s="50">
        <f t="shared" ca="1" si="0"/>
        <v>42.519230769230766</v>
      </c>
      <c r="F144" s="124">
        <v>23</v>
      </c>
      <c r="H144" s="8"/>
    </row>
    <row r="145" spans="3:8" ht="15.75" thickBot="1" x14ac:dyDescent="0.3">
      <c r="C145" s="56" t="s">
        <v>234</v>
      </c>
      <c r="D145" s="15" t="s">
        <v>23</v>
      </c>
      <c r="E145" s="50">
        <f t="shared" ca="1" si="0"/>
        <v>66.36363636363636</v>
      </c>
      <c r="F145" s="124">
        <v>24</v>
      </c>
      <c r="H145" s="8"/>
    </row>
    <row r="146" spans="3:8" ht="15.75" thickBot="1" x14ac:dyDescent="0.3">
      <c r="C146" s="56" t="s">
        <v>234</v>
      </c>
      <c r="D146" s="15" t="s">
        <v>24</v>
      </c>
      <c r="E146" s="50">
        <f t="shared" ca="1" si="0"/>
        <v>34.980769230769234</v>
      </c>
      <c r="F146" s="124">
        <v>25</v>
      </c>
      <c r="H146" s="8"/>
    </row>
    <row r="147" spans="3:8" ht="15.75" thickBot="1" x14ac:dyDescent="0.3">
      <c r="C147" s="56" t="s">
        <v>234</v>
      </c>
      <c r="D147" s="15" t="s">
        <v>25</v>
      </c>
      <c r="E147" s="50">
        <f t="shared" ca="1" si="0"/>
        <v>45.5</v>
      </c>
      <c r="F147" s="124">
        <v>26</v>
      </c>
      <c r="H147" s="8"/>
    </row>
    <row r="148" spans="3:8" ht="15.75" thickBot="1" x14ac:dyDescent="0.3">
      <c r="C148" s="57" t="s">
        <v>236</v>
      </c>
      <c r="D148" s="15" t="s">
        <v>26</v>
      </c>
      <c r="E148" s="50">
        <f t="shared" ca="1" si="0"/>
        <v>36.865384615384613</v>
      </c>
      <c r="F148" s="124">
        <v>27</v>
      </c>
      <c r="H148" s="8"/>
    </row>
    <row r="149" spans="3:8" ht="15.75" thickBot="1" x14ac:dyDescent="0.3">
      <c r="C149" s="57" t="s">
        <v>236</v>
      </c>
      <c r="D149" s="15" t="s">
        <v>200</v>
      </c>
      <c r="E149" s="50">
        <f t="shared" ca="1" si="0"/>
        <v>22.403846153846153</v>
      </c>
      <c r="F149" s="124">
        <v>28</v>
      </c>
      <c r="H149" s="8"/>
    </row>
    <row r="150" spans="3:8" ht="15.75" thickBot="1" x14ac:dyDescent="0.3">
      <c r="C150" s="57" t="s">
        <v>236</v>
      </c>
      <c r="D150" s="15" t="s">
        <v>27</v>
      </c>
      <c r="E150" s="50">
        <f t="shared" ca="1" si="0"/>
        <v>50</v>
      </c>
      <c r="F150" s="124">
        <v>29</v>
      </c>
      <c r="H150" s="8"/>
    </row>
    <row r="151" spans="3:8" ht="15.75" thickBot="1" x14ac:dyDescent="0.3">
      <c r="C151" s="57" t="s">
        <v>236</v>
      </c>
      <c r="D151" s="15" t="s">
        <v>28</v>
      </c>
      <c r="E151" s="50">
        <f t="shared" ca="1" si="0"/>
        <v>19.365384615384617</v>
      </c>
      <c r="F151" s="124">
        <v>30</v>
      </c>
      <c r="H151" s="8"/>
    </row>
    <row r="152" spans="3:8" ht="15.75" thickBot="1" x14ac:dyDescent="0.3">
      <c r="C152" s="57" t="s">
        <v>236</v>
      </c>
      <c r="D152" s="15" t="s">
        <v>29</v>
      </c>
      <c r="E152" s="50">
        <f t="shared" ca="1" si="0"/>
        <v>44.019230769230766</v>
      </c>
      <c r="F152" s="124">
        <v>31</v>
      </c>
      <c r="H152" s="8"/>
    </row>
    <row r="153" spans="3:8" ht="15.75" thickBot="1" x14ac:dyDescent="0.3">
      <c r="C153" s="57" t="s">
        <v>236</v>
      </c>
      <c r="D153" s="15" t="s">
        <v>30</v>
      </c>
      <c r="E153" s="50">
        <f t="shared" ca="1" si="0"/>
        <v>43.346153846153847</v>
      </c>
      <c r="F153" s="124">
        <v>32</v>
      </c>
      <c r="H153" s="8"/>
    </row>
    <row r="154" spans="3:8" ht="15.75" thickBot="1" x14ac:dyDescent="0.3">
      <c r="C154" s="57" t="s">
        <v>236</v>
      </c>
      <c r="D154" s="15" t="s">
        <v>31</v>
      </c>
      <c r="E154" s="50">
        <f t="shared" ca="1" si="0"/>
        <v>38.46153846153846</v>
      </c>
      <c r="F154" s="124">
        <v>33</v>
      </c>
      <c r="H154" s="8"/>
    </row>
    <row r="155" spans="3:8" ht="15.75" thickBot="1" x14ac:dyDescent="0.3">
      <c r="C155" s="57" t="s">
        <v>236</v>
      </c>
      <c r="D155" s="15" t="s">
        <v>32</v>
      </c>
      <c r="E155" s="50">
        <f t="shared" ca="1" si="0"/>
        <v>14.653846153846153</v>
      </c>
      <c r="F155" s="124">
        <v>34</v>
      </c>
      <c r="H155" s="8"/>
    </row>
    <row r="156" spans="3:8" ht="15.75" thickBot="1" x14ac:dyDescent="0.3">
      <c r="C156" s="57" t="s">
        <v>236</v>
      </c>
      <c r="D156" s="15" t="s">
        <v>33</v>
      </c>
      <c r="E156" s="50">
        <f t="shared" ca="1" si="0"/>
        <v>49</v>
      </c>
      <c r="F156" s="124">
        <v>35</v>
      </c>
      <c r="H156" s="8"/>
    </row>
    <row r="157" spans="3:8" ht="15.75" thickBot="1" x14ac:dyDescent="0.3">
      <c r="C157" s="57" t="s">
        <v>236</v>
      </c>
      <c r="D157" s="15" t="s">
        <v>35</v>
      </c>
      <c r="E157" s="50">
        <f t="shared" ca="1" si="0"/>
        <v>3.0384615384615383</v>
      </c>
      <c r="F157" s="124">
        <v>36</v>
      </c>
      <c r="H157" s="8"/>
    </row>
    <row r="158" spans="3:8" ht="15.75" thickBot="1" x14ac:dyDescent="0.3">
      <c r="C158" s="57" t="s">
        <v>236</v>
      </c>
      <c r="D158" s="15" t="s">
        <v>220</v>
      </c>
      <c r="E158" s="50">
        <f t="shared" ca="1" si="0"/>
        <v>48.115384615384613</v>
      </c>
      <c r="F158" s="124">
        <v>37</v>
      </c>
      <c r="H158" s="8"/>
    </row>
    <row r="159" spans="3:8" ht="15.75" thickBot="1" x14ac:dyDescent="0.3">
      <c r="C159" s="58" t="s">
        <v>236</v>
      </c>
      <c r="D159" s="47" t="s">
        <v>0</v>
      </c>
      <c r="E159" s="50">
        <f t="shared" ca="1" si="0"/>
        <v>18.28846153846154</v>
      </c>
      <c r="F159" s="124">
        <v>38</v>
      </c>
      <c r="H159" s="8"/>
    </row>
    <row r="160" spans="3:8" x14ac:dyDescent="0.25">
      <c r="G160" s="8"/>
      <c r="H160" s="8"/>
    </row>
    <row r="161" spans="3:8" x14ac:dyDescent="0.25">
      <c r="G161" s="8"/>
      <c r="H161" s="8"/>
    </row>
    <row r="162" spans="3:8" x14ac:dyDescent="0.25">
      <c r="G162" s="8"/>
      <c r="H162" s="8"/>
    </row>
    <row r="163" spans="3:8" x14ac:dyDescent="0.25">
      <c r="G163" s="8"/>
    </row>
    <row r="164" spans="3:8" x14ac:dyDescent="0.25">
      <c r="G164" s="8"/>
    </row>
    <row r="165" spans="3:8" ht="15.75" thickBot="1" x14ac:dyDescent="0.3">
      <c r="G165" s="8"/>
    </row>
    <row r="166" spans="3:8" ht="18.75" x14ac:dyDescent="0.3">
      <c r="C166" s="188" t="s">
        <v>351</v>
      </c>
      <c r="D166" s="190"/>
      <c r="E166" s="189"/>
      <c r="G166" s="8"/>
    </row>
    <row r="167" spans="3:8" ht="38.25" customHeight="1" thickBot="1" x14ac:dyDescent="0.3">
      <c r="C167" s="43" t="s">
        <v>240</v>
      </c>
      <c r="D167" s="43" t="s">
        <v>221</v>
      </c>
      <c r="E167" s="64" t="s">
        <v>224</v>
      </c>
      <c r="F167" s="7"/>
      <c r="G167" s="8"/>
    </row>
    <row r="168" spans="3:8" ht="15.75" thickBot="1" x14ac:dyDescent="0.3">
      <c r="C168" s="65" t="s">
        <v>234</v>
      </c>
      <c r="D168" s="15" t="s">
        <v>23</v>
      </c>
      <c r="E168" s="50">
        <f ca="1">$E$145</f>
        <v>66.36363636363636</v>
      </c>
      <c r="F168" s="24"/>
      <c r="G168" s="8"/>
    </row>
    <row r="169" spans="3:8" ht="15.75" thickBot="1" x14ac:dyDescent="0.3">
      <c r="C169" s="65" t="s">
        <v>233</v>
      </c>
      <c r="D169" s="15" t="s">
        <v>3</v>
      </c>
      <c r="E169" s="50">
        <f ca="1">$E$126</f>
        <v>53.96153846153846</v>
      </c>
      <c r="F169" s="24"/>
      <c r="G169" s="8"/>
    </row>
    <row r="170" spans="3:8" ht="15.75" thickBot="1" x14ac:dyDescent="0.3">
      <c r="C170" s="65" t="s">
        <v>236</v>
      </c>
      <c r="D170" s="15" t="s">
        <v>27</v>
      </c>
      <c r="E170" s="50">
        <f ca="1">$E$150</f>
        <v>50</v>
      </c>
      <c r="F170" s="24"/>
      <c r="G170" s="8"/>
    </row>
    <row r="171" spans="3:8" ht="15.75" thickBot="1" x14ac:dyDescent="0.3">
      <c r="C171" s="65" t="s">
        <v>236</v>
      </c>
      <c r="D171" s="15" t="s">
        <v>33</v>
      </c>
      <c r="E171" s="50">
        <f ca="1">$E$156</f>
        <v>49</v>
      </c>
      <c r="F171" s="24"/>
      <c r="G171" s="8"/>
    </row>
    <row r="172" spans="3:8" ht="15.75" thickBot="1" x14ac:dyDescent="0.3">
      <c r="C172" s="65" t="s">
        <v>236</v>
      </c>
      <c r="D172" s="15" t="s">
        <v>220</v>
      </c>
      <c r="E172" s="50">
        <f ca="1">$E$158</f>
        <v>48.115384615384613</v>
      </c>
      <c r="F172" s="24"/>
      <c r="G172" s="8"/>
    </row>
    <row r="173" spans="3:8" ht="15.75" thickBot="1" x14ac:dyDescent="0.3">
      <c r="C173" s="65" t="s">
        <v>233</v>
      </c>
      <c r="D173" s="15" t="s">
        <v>1</v>
      </c>
      <c r="E173" s="50">
        <f ca="1">$E$124</f>
        <v>48.083333333333336</v>
      </c>
      <c r="F173" s="24"/>
      <c r="G173" s="8"/>
    </row>
    <row r="174" spans="3:8" ht="15.75" thickBot="1" x14ac:dyDescent="0.3">
      <c r="C174" s="65" t="s">
        <v>235</v>
      </c>
      <c r="D174" s="15" t="s">
        <v>15</v>
      </c>
      <c r="E174" s="50">
        <f ca="1">$E$137</f>
        <v>45.71153846153846</v>
      </c>
      <c r="F174" s="24"/>
      <c r="G174" s="8"/>
    </row>
    <row r="175" spans="3:8" ht="15.75" thickBot="1" x14ac:dyDescent="0.3">
      <c r="C175" s="65" t="s">
        <v>234</v>
      </c>
      <c r="D175" s="15" t="s">
        <v>25</v>
      </c>
      <c r="E175" s="50">
        <f ca="1">$E$147</f>
        <v>45.5</v>
      </c>
      <c r="F175" s="24"/>
      <c r="G175" s="8"/>
    </row>
    <row r="176" spans="3:8" ht="15.75" thickBot="1" x14ac:dyDescent="0.3">
      <c r="C176" s="65" t="s">
        <v>235</v>
      </c>
      <c r="D176" s="15" t="s">
        <v>13</v>
      </c>
      <c r="E176" s="50">
        <f ca="1">$E$136</f>
        <v>44.865384615384613</v>
      </c>
      <c r="F176" s="24"/>
      <c r="G176" s="8"/>
    </row>
    <row r="177" spans="3:7" ht="15.75" thickBot="1" x14ac:dyDescent="0.3">
      <c r="C177" s="65" t="s">
        <v>236</v>
      </c>
      <c r="D177" s="15" t="s">
        <v>29</v>
      </c>
      <c r="E177" s="50">
        <f ca="1">$E$152</f>
        <v>44.019230769230766</v>
      </c>
      <c r="F177" s="24"/>
      <c r="G177" s="8"/>
    </row>
    <row r="178" spans="3:7" ht="15.75" thickBot="1" x14ac:dyDescent="0.3">
      <c r="C178" s="65" t="s">
        <v>236</v>
      </c>
      <c r="D178" s="15" t="s">
        <v>30</v>
      </c>
      <c r="E178" s="50">
        <f ca="1">$E$153</f>
        <v>43.346153846153847</v>
      </c>
      <c r="F178" s="24"/>
      <c r="G178" s="8"/>
    </row>
    <row r="179" spans="3:7" ht="15.75" thickBot="1" x14ac:dyDescent="0.3">
      <c r="C179" s="65" t="s">
        <v>234</v>
      </c>
      <c r="D179" s="15" t="s">
        <v>22</v>
      </c>
      <c r="E179" s="50">
        <f ca="1">$E$144</f>
        <v>42.519230769230766</v>
      </c>
      <c r="F179" s="24"/>
      <c r="G179" s="8"/>
    </row>
    <row r="180" spans="3:7" ht="15.75" thickBot="1" x14ac:dyDescent="0.3">
      <c r="C180" s="65" t="s">
        <v>233</v>
      </c>
      <c r="D180" s="15" t="s">
        <v>8</v>
      </c>
      <c r="E180" s="50">
        <f ca="1">$E$130</f>
        <v>39.75</v>
      </c>
      <c r="F180" s="24"/>
      <c r="G180" s="8"/>
    </row>
    <row r="181" spans="3:7" ht="15.75" thickBot="1" x14ac:dyDescent="0.3">
      <c r="C181" s="65" t="s">
        <v>236</v>
      </c>
      <c r="D181" s="15" t="s">
        <v>31</v>
      </c>
      <c r="E181" s="50">
        <f ca="1">$E$154</f>
        <v>38.46153846153846</v>
      </c>
      <c r="F181" s="24"/>
      <c r="G181" s="8"/>
    </row>
    <row r="182" spans="3:7" ht="15.75" thickBot="1" x14ac:dyDescent="0.3">
      <c r="C182" s="65" t="s">
        <v>233</v>
      </c>
      <c r="D182" s="15" t="s">
        <v>11</v>
      </c>
      <c r="E182" s="50">
        <f ca="1">$E$134</f>
        <v>37.192307692307693</v>
      </c>
      <c r="F182" s="24"/>
      <c r="G182" s="8"/>
    </row>
    <row r="183" spans="3:7" ht="15.75" thickBot="1" x14ac:dyDescent="0.3">
      <c r="C183" s="65" t="s">
        <v>236</v>
      </c>
      <c r="D183" s="15" t="s">
        <v>26</v>
      </c>
      <c r="E183" s="50">
        <f ca="1">$E$148</f>
        <v>36.865384615384613</v>
      </c>
      <c r="F183" s="24"/>
      <c r="G183" s="8"/>
    </row>
    <row r="184" spans="3:7" ht="15.75" thickBot="1" x14ac:dyDescent="0.3">
      <c r="C184" s="65" t="s">
        <v>235</v>
      </c>
      <c r="D184" s="15" t="s">
        <v>18</v>
      </c>
      <c r="E184" s="50">
        <f ca="1">$E$141</f>
        <v>36</v>
      </c>
      <c r="F184" s="24"/>
      <c r="G184" s="8"/>
    </row>
    <row r="185" spans="3:7" ht="15.75" thickBot="1" x14ac:dyDescent="0.3">
      <c r="C185" s="65" t="s">
        <v>234</v>
      </c>
      <c r="D185" s="15" t="s">
        <v>24</v>
      </c>
      <c r="E185" s="50">
        <f ca="1">$E$146</f>
        <v>34.980769230769234</v>
      </c>
      <c r="F185" s="24"/>
      <c r="G185" s="8"/>
    </row>
    <row r="186" spans="3:7" ht="15.75" thickBot="1" x14ac:dyDescent="0.3">
      <c r="C186" s="65" t="s">
        <v>233</v>
      </c>
      <c r="D186" s="15" t="s">
        <v>10</v>
      </c>
      <c r="E186" s="50">
        <f ca="1">$E$132</f>
        <v>34.269230769230766</v>
      </c>
      <c r="F186" s="24"/>
      <c r="G186" s="8"/>
    </row>
    <row r="187" spans="3:7" ht="15.75" thickBot="1" x14ac:dyDescent="0.3">
      <c r="C187" s="65" t="s">
        <v>233</v>
      </c>
      <c r="D187" s="38" t="s">
        <v>9</v>
      </c>
      <c r="E187" s="50">
        <f ca="1">$E$131</f>
        <v>27.833333333333332</v>
      </c>
      <c r="F187" s="24"/>
      <c r="G187" s="8"/>
    </row>
    <row r="188" spans="3:7" ht="15.75" thickBot="1" x14ac:dyDescent="0.3">
      <c r="C188" s="65" t="s">
        <v>233</v>
      </c>
      <c r="D188" s="15" t="s">
        <v>5</v>
      </c>
      <c r="E188" s="50">
        <f ca="1">$E$128</f>
        <v>26.557692307692307</v>
      </c>
      <c r="F188" s="24"/>
      <c r="G188" s="8"/>
    </row>
    <row r="189" spans="3:7" ht="15.75" thickBot="1" x14ac:dyDescent="0.3">
      <c r="C189" s="65" t="s">
        <v>233</v>
      </c>
      <c r="D189" s="15" t="s">
        <v>12</v>
      </c>
      <c r="E189" s="50">
        <f ca="1">$E$133</f>
        <v>26</v>
      </c>
      <c r="F189" s="24"/>
      <c r="G189" s="8"/>
    </row>
    <row r="190" spans="3:7" ht="15.75" thickBot="1" x14ac:dyDescent="0.3">
      <c r="C190" s="65" t="s">
        <v>233</v>
      </c>
      <c r="D190" s="15" t="s">
        <v>4</v>
      </c>
      <c r="E190" s="50">
        <f ca="1">$E$127</f>
        <v>23.23076923076923</v>
      </c>
      <c r="F190" s="24"/>
      <c r="G190" s="8"/>
    </row>
    <row r="191" spans="3:7" ht="15.75" thickBot="1" x14ac:dyDescent="0.3">
      <c r="C191" s="65" t="s">
        <v>236</v>
      </c>
      <c r="D191" s="15" t="s">
        <v>200</v>
      </c>
      <c r="E191" s="50">
        <f ca="1">$E$149</f>
        <v>22.403846153846153</v>
      </c>
      <c r="F191" s="24"/>
      <c r="G191" s="8"/>
    </row>
    <row r="192" spans="3:7" ht="15.75" thickBot="1" x14ac:dyDescent="0.3">
      <c r="C192" s="65" t="s">
        <v>234</v>
      </c>
      <c r="D192" s="15" t="s">
        <v>20</v>
      </c>
      <c r="E192" s="50">
        <f ca="1">$E$142</f>
        <v>20.884615384615383</v>
      </c>
      <c r="F192" s="24"/>
      <c r="G192" s="8"/>
    </row>
    <row r="193" spans="3:8" ht="15.75" thickBot="1" x14ac:dyDescent="0.3">
      <c r="C193" s="65" t="s">
        <v>236</v>
      </c>
      <c r="D193" s="15" t="s">
        <v>28</v>
      </c>
      <c r="E193" s="50">
        <f ca="1">$E$151</f>
        <v>19.365384615384617</v>
      </c>
      <c r="F193" s="24"/>
      <c r="G193" s="8"/>
    </row>
    <row r="194" spans="3:8" ht="15.75" thickBot="1" x14ac:dyDescent="0.3">
      <c r="C194" s="65" t="s">
        <v>234</v>
      </c>
      <c r="D194" s="15" t="s">
        <v>21</v>
      </c>
      <c r="E194" s="50">
        <f ca="1">$E$143</f>
        <v>18.5</v>
      </c>
      <c r="F194" s="24"/>
      <c r="G194" s="8"/>
    </row>
    <row r="195" spans="3:8" ht="15.75" thickBot="1" x14ac:dyDescent="0.3">
      <c r="C195" s="65" t="s">
        <v>236</v>
      </c>
      <c r="D195" s="15" t="s">
        <v>0</v>
      </c>
      <c r="E195" s="50">
        <f ca="1">$E$159</f>
        <v>18.28846153846154</v>
      </c>
      <c r="F195" s="24"/>
      <c r="G195" s="8"/>
    </row>
    <row r="196" spans="3:8" ht="15.75" thickBot="1" x14ac:dyDescent="0.3">
      <c r="C196" s="65" t="s">
        <v>235</v>
      </c>
      <c r="D196" s="15" t="s">
        <v>17</v>
      </c>
      <c r="E196" s="50">
        <f ca="1">$E$139</f>
        <v>15.166666666666666</v>
      </c>
      <c r="F196" s="24"/>
      <c r="G196" s="8"/>
    </row>
    <row r="197" spans="3:8" ht="15.75" thickBot="1" x14ac:dyDescent="0.3">
      <c r="C197" s="65" t="s">
        <v>236</v>
      </c>
      <c r="D197" s="15" t="s">
        <v>32</v>
      </c>
      <c r="E197" s="50">
        <f ca="1">$E$155</f>
        <v>14.653846153846153</v>
      </c>
      <c r="F197" s="24"/>
      <c r="G197" s="8"/>
    </row>
    <row r="198" spans="3:8" ht="15.75" thickBot="1" x14ac:dyDescent="0.3">
      <c r="C198" s="65" t="s">
        <v>233</v>
      </c>
      <c r="D198" s="15" t="s">
        <v>19</v>
      </c>
      <c r="E198" s="50">
        <f ca="1">$E$135</f>
        <v>14.634615384615385</v>
      </c>
      <c r="F198" s="24"/>
      <c r="G198" s="8"/>
    </row>
    <row r="199" spans="3:8" ht="15.75" thickBot="1" x14ac:dyDescent="0.3">
      <c r="C199" s="65" t="s">
        <v>235</v>
      </c>
      <c r="D199" s="15" t="s">
        <v>16</v>
      </c>
      <c r="E199" s="50">
        <f ca="1">$E$138</f>
        <v>13.666666666666666</v>
      </c>
      <c r="F199" s="24"/>
      <c r="G199" s="8"/>
    </row>
    <row r="200" spans="3:8" ht="15.75" thickBot="1" x14ac:dyDescent="0.3">
      <c r="C200" s="65" t="s">
        <v>235</v>
      </c>
      <c r="D200" s="15" t="s">
        <v>187</v>
      </c>
      <c r="E200" s="50">
        <f ca="1">$E$140</f>
        <v>7.75</v>
      </c>
      <c r="F200" s="24"/>
      <c r="G200" s="8"/>
    </row>
    <row r="201" spans="3:8" ht="15.75" thickBot="1" x14ac:dyDescent="0.3">
      <c r="C201" s="65" t="s">
        <v>233</v>
      </c>
      <c r="D201" s="15" t="s">
        <v>2</v>
      </c>
      <c r="E201" s="50">
        <f ca="1">$E$125</f>
        <v>6.0192307692307692</v>
      </c>
      <c r="F201" s="24"/>
      <c r="G201" s="8"/>
    </row>
    <row r="202" spans="3:8" ht="15.75" thickBot="1" x14ac:dyDescent="0.3">
      <c r="C202" s="65" t="s">
        <v>233</v>
      </c>
      <c r="D202" s="15" t="s">
        <v>7</v>
      </c>
      <c r="E202" s="50">
        <f ca="1">$E$129</f>
        <v>5.083333333333333</v>
      </c>
      <c r="F202" s="24"/>
      <c r="G202" s="8"/>
    </row>
    <row r="203" spans="3:8" ht="15.75" thickBot="1" x14ac:dyDescent="0.3">
      <c r="C203" s="65" t="s">
        <v>236</v>
      </c>
      <c r="D203" s="15" t="s">
        <v>35</v>
      </c>
      <c r="E203" s="50">
        <f ca="1">$E$157</f>
        <v>3.0384615384615383</v>
      </c>
      <c r="G203" s="8"/>
    </row>
    <row r="204" spans="3:8" ht="15.75" thickBot="1" x14ac:dyDescent="0.3">
      <c r="C204" s="66" t="s">
        <v>233</v>
      </c>
      <c r="D204" s="47" t="s">
        <v>219</v>
      </c>
      <c r="E204" s="51">
        <f ca="1">$E$123</f>
        <v>0.63903846153846133</v>
      </c>
      <c r="G204" s="8"/>
    </row>
    <row r="205" spans="3:8" x14ac:dyDescent="0.25">
      <c r="G205" s="8"/>
      <c r="H205" t="s">
        <v>349</v>
      </c>
    </row>
    <row r="206" spans="3:8" x14ac:dyDescent="0.25">
      <c r="G206" s="8"/>
    </row>
    <row r="207" spans="3:8" x14ac:dyDescent="0.25">
      <c r="G207" s="8"/>
    </row>
    <row r="208" spans="3:8" x14ac:dyDescent="0.25">
      <c r="G208" s="8"/>
    </row>
    <row r="209" spans="3:7" ht="15.75" thickBot="1" x14ac:dyDescent="0.3">
      <c r="G209" s="8"/>
    </row>
    <row r="210" spans="3:7" ht="18.75" x14ac:dyDescent="0.3">
      <c r="D210" s="188" t="s">
        <v>352</v>
      </c>
      <c r="E210" s="190"/>
      <c r="F210" s="190"/>
      <c r="G210" s="189"/>
    </row>
    <row r="211" spans="3:7" ht="30.75" thickBot="1" x14ac:dyDescent="0.3">
      <c r="C211" s="43" t="s">
        <v>240</v>
      </c>
      <c r="D211" s="43" t="s">
        <v>221</v>
      </c>
      <c r="E211" s="97" t="s">
        <v>353</v>
      </c>
      <c r="F211" s="98" t="s">
        <v>354</v>
      </c>
      <c r="G211" s="98" t="s">
        <v>356</v>
      </c>
    </row>
    <row r="212" spans="3:7" ht="15.75" thickBot="1" x14ac:dyDescent="0.3">
      <c r="C212" s="4"/>
      <c r="D212" s="15" t="str">
        <f>D168</f>
        <v>Innovative market design &amp; policies</v>
      </c>
      <c r="E212" s="42"/>
      <c r="F212" s="67"/>
      <c r="G212" s="22"/>
    </row>
    <row r="213" spans="3:7" ht="15.75" thickBot="1" x14ac:dyDescent="0.3">
      <c r="C213" s="4"/>
      <c r="D213" s="15" t="str">
        <f t="shared" ref="D213:E246" si="1">D169</f>
        <v>Capital market constraints</v>
      </c>
      <c r="E213" s="42"/>
      <c r="F213" s="67"/>
      <c r="G213" s="22"/>
    </row>
    <row r="214" spans="3:7" ht="15.75" thickBot="1" x14ac:dyDescent="0.3">
      <c r="C214" s="4"/>
      <c r="D214" s="15" t="str">
        <f t="shared" si="1"/>
        <v>Renewable energy</v>
      </c>
      <c r="E214" s="42"/>
      <c r="F214" s="67"/>
      <c r="G214" s="22"/>
    </row>
    <row r="215" spans="3:7" ht="15.75" thickBot="1" x14ac:dyDescent="0.3">
      <c r="C215" s="4"/>
      <c r="D215" s="15" t="str">
        <f t="shared" si="1"/>
        <v>Unconventional fossil fuels</v>
      </c>
      <c r="E215" s="42"/>
      <c r="F215" s="67"/>
      <c r="G215" s="22"/>
    </row>
    <row r="216" spans="3:7" ht="15.75" thickBot="1" x14ac:dyDescent="0.3">
      <c r="C216" s="4"/>
      <c r="D216" s="15" t="str">
        <f t="shared" si="1"/>
        <v>Energy Efficiency</v>
      </c>
      <c r="E216" s="42"/>
      <c r="F216" s="67"/>
      <c r="G216" s="22"/>
    </row>
    <row r="217" spans="3:7" ht="15.75" thickBot="1" x14ac:dyDescent="0.3">
      <c r="C217" s="4" t="str">
        <f t="shared" ref="C217:C248" si="2">C173</f>
        <v>Macroeconomic</v>
      </c>
      <c r="D217" s="15" t="str">
        <f t="shared" si="1"/>
        <v>Global climate framework uncertainty</v>
      </c>
      <c r="E217" s="42">
        <f ca="1">E173</f>
        <v>48.083333333333336</v>
      </c>
      <c r="F217" s="68">
        <f t="shared" ref="F217:F241" ca="1" si="3">E217/$E$250</f>
        <v>1</v>
      </c>
      <c r="G217" s="69">
        <f ca="1">((F217*7)/100%)+5</f>
        <v>12</v>
      </c>
    </row>
    <row r="218" spans="3:7" ht="15.75" thickBot="1" x14ac:dyDescent="0.3">
      <c r="C218" s="4" t="str">
        <f t="shared" si="2"/>
        <v>Geopolitics &amp; regional</v>
      </c>
      <c r="D218" s="15" t="str">
        <f t="shared" si="1"/>
        <v>Brazil growth</v>
      </c>
      <c r="E218" s="42">
        <f t="shared" ca="1" si="1"/>
        <v>45.71153846153846</v>
      </c>
      <c r="F218" s="68">
        <f t="shared" ca="1" si="3"/>
        <v>0.95067324356752425</v>
      </c>
      <c r="G218" s="69">
        <f ca="1">((F218*7)/100%)+5</f>
        <v>11.65471270497267</v>
      </c>
    </row>
    <row r="219" spans="3:7" ht="15.75" thickBot="1" x14ac:dyDescent="0.3">
      <c r="C219" s="4" t="str">
        <f t="shared" si="2"/>
        <v>Business environment</v>
      </c>
      <c r="D219" s="15" t="str">
        <f t="shared" si="1"/>
        <v>New market players</v>
      </c>
      <c r="E219" s="42">
        <f t="shared" ca="1" si="1"/>
        <v>45.5</v>
      </c>
      <c r="F219" s="68">
        <f t="shared" ca="1" si="3"/>
        <v>0.9462738301559791</v>
      </c>
      <c r="G219" s="69">
        <f t="shared" ref="G219:G243" ca="1" si="4">((F219*7)/100%)+5</f>
        <v>11.623916811091853</v>
      </c>
    </row>
    <row r="220" spans="3:7" ht="15.75" thickBot="1" x14ac:dyDescent="0.3">
      <c r="C220" s="4" t="str">
        <f t="shared" si="2"/>
        <v>Geopolitics &amp; regional</v>
      </c>
      <c r="D220" s="15" t="str">
        <f t="shared" si="1"/>
        <v>India growth</v>
      </c>
      <c r="E220" s="42">
        <f t="shared" ca="1" si="1"/>
        <v>44.865384615384613</v>
      </c>
      <c r="F220" s="68">
        <f t="shared" ca="1" si="3"/>
        <v>0.93307558992134376</v>
      </c>
      <c r="G220" s="69">
        <f t="shared" ca="1" si="4"/>
        <v>11.531529129449407</v>
      </c>
    </row>
    <row r="221" spans="3:7" ht="15.75" thickBot="1" x14ac:dyDescent="0.3">
      <c r="C221" s="4" t="str">
        <f t="shared" si="2"/>
        <v>Vision &amp; technology</v>
      </c>
      <c r="D221" s="15" t="str">
        <f t="shared" si="1"/>
        <v>Smart grids</v>
      </c>
      <c r="E221" s="42">
        <f t="shared" ca="1" si="1"/>
        <v>44.019230769230766</v>
      </c>
      <c r="F221" s="68">
        <f t="shared" ca="1" si="3"/>
        <v>0.91547793627516316</v>
      </c>
      <c r="G221" s="69">
        <f t="shared" ca="1" si="4"/>
        <v>11.408345553926143</v>
      </c>
    </row>
    <row r="222" spans="3:7" ht="15.75" thickBot="1" x14ac:dyDescent="0.3">
      <c r="C222" s="4" t="str">
        <f t="shared" si="2"/>
        <v>Vision &amp; technology</v>
      </c>
      <c r="D222" s="15" t="str">
        <f t="shared" si="1"/>
        <v>Future mobility</v>
      </c>
      <c r="E222" s="42">
        <f t="shared" ca="1" si="1"/>
        <v>43.346153846153847</v>
      </c>
      <c r="F222" s="68">
        <f t="shared" ca="1" si="3"/>
        <v>0.90147980269297423</v>
      </c>
      <c r="G222" s="69">
        <f t="shared" ca="1" si="4"/>
        <v>11.31035861885082</v>
      </c>
    </row>
    <row r="223" spans="3:7" ht="15.75" thickBot="1" x14ac:dyDescent="0.3">
      <c r="C223" s="4" t="str">
        <f t="shared" si="2"/>
        <v>Business environment</v>
      </c>
      <c r="D223" s="15" t="str">
        <f t="shared" si="1"/>
        <v>Business cycle</v>
      </c>
      <c r="E223" s="42">
        <f t="shared" ca="1" si="1"/>
        <v>42.519230769230766</v>
      </c>
      <c r="F223" s="68">
        <f t="shared" ca="1" si="3"/>
        <v>0.88428209572057048</v>
      </c>
      <c r="G223" s="69">
        <f t="shared" ca="1" si="4"/>
        <v>11.189974670043993</v>
      </c>
    </row>
    <row r="224" spans="3:7" ht="15.75" thickBot="1" x14ac:dyDescent="0.3">
      <c r="C224" s="4" t="str">
        <f t="shared" si="2"/>
        <v>Macroeconomic</v>
      </c>
      <c r="D224" s="15" t="str">
        <f t="shared" si="1"/>
        <v>Energy water food nexus</v>
      </c>
      <c r="E224" s="42">
        <f t="shared" ca="1" si="1"/>
        <v>39.75</v>
      </c>
      <c r="F224" s="68">
        <f t="shared" ca="1" si="3"/>
        <v>0.82668977469670701</v>
      </c>
      <c r="G224" s="69">
        <f t="shared" ca="1" si="4"/>
        <v>10.786828422876949</v>
      </c>
    </row>
    <row r="225" spans="3:9" ht="15.75" thickBot="1" x14ac:dyDescent="0.3">
      <c r="C225" s="4" t="str">
        <f t="shared" si="2"/>
        <v>Vision &amp; technology</v>
      </c>
      <c r="D225" s="15" t="str">
        <f t="shared" si="1"/>
        <v>Electricity storage</v>
      </c>
      <c r="E225" s="42">
        <f t="shared" ca="1" si="1"/>
        <v>38.46153846153846</v>
      </c>
      <c r="F225" s="68">
        <f t="shared" ca="1" si="3"/>
        <v>0.79989334755365948</v>
      </c>
      <c r="G225" s="69">
        <f t="shared" ca="1" si="4"/>
        <v>10.599253432875617</v>
      </c>
      <c r="I225" s="4"/>
    </row>
    <row r="226" spans="3:9" ht="15.75" thickBot="1" x14ac:dyDescent="0.3">
      <c r="C226" s="4" t="str">
        <f t="shared" si="2"/>
        <v>Macroeconomic</v>
      </c>
      <c r="D226" s="15" t="str">
        <f t="shared" si="1"/>
        <v>Corruption</v>
      </c>
      <c r="E226" s="42">
        <f t="shared" ca="1" si="1"/>
        <v>37.192307692307693</v>
      </c>
      <c r="F226" s="68">
        <f t="shared" ca="1" si="3"/>
        <v>0.7734968670843887</v>
      </c>
      <c r="G226" s="69">
        <f t="shared" ca="1" si="4"/>
        <v>10.414478069590722</v>
      </c>
      <c r="I226" s="4"/>
    </row>
    <row r="227" spans="3:9" ht="15.75" thickBot="1" x14ac:dyDescent="0.3">
      <c r="C227" s="4" t="str">
        <f t="shared" si="2"/>
        <v>Vision &amp; technology</v>
      </c>
      <c r="D227" s="15" t="str">
        <f t="shared" si="1"/>
        <v>Sustainable cities</v>
      </c>
      <c r="E227" s="42">
        <f t="shared" ca="1" si="1"/>
        <v>36.865384615384613</v>
      </c>
      <c r="F227" s="68">
        <f t="shared" ca="1" si="3"/>
        <v>0.76669777363018254</v>
      </c>
      <c r="G227" s="69">
        <f t="shared" ca="1" si="4"/>
        <v>10.366884415411278</v>
      </c>
    </row>
    <row r="228" spans="3:9" ht="15.75" thickBot="1" x14ac:dyDescent="0.3">
      <c r="C228" s="4" t="str">
        <f t="shared" si="2"/>
        <v>Geopolitics &amp; regional</v>
      </c>
      <c r="D228" s="15" t="str">
        <f t="shared" si="1"/>
        <v>US trade and policy influencing global energy markets</v>
      </c>
      <c r="E228" s="42">
        <f t="shared" ca="1" si="1"/>
        <v>36</v>
      </c>
      <c r="F228" s="68">
        <f t="shared" ca="1" si="3"/>
        <v>0.74870017331022531</v>
      </c>
      <c r="G228" s="69">
        <f t="shared" ca="1" si="4"/>
        <v>10.240901213171577</v>
      </c>
    </row>
    <row r="229" spans="3:9" ht="15.75" thickBot="1" x14ac:dyDescent="0.3">
      <c r="C229" s="4" t="str">
        <f t="shared" si="2"/>
        <v>Business environment</v>
      </c>
      <c r="D229" s="15" t="str">
        <f t="shared" si="1"/>
        <v>Energy subsidies</v>
      </c>
      <c r="E229" s="42">
        <f t="shared" ca="1" si="1"/>
        <v>34.980769230769234</v>
      </c>
      <c r="F229" s="68">
        <f t="shared" ca="1" si="3"/>
        <v>0.72750299960005338</v>
      </c>
      <c r="G229" s="69">
        <f t="shared" ca="1" si="4"/>
        <v>10.092520997200374</v>
      </c>
    </row>
    <row r="230" spans="3:9" ht="15.75" thickBot="1" x14ac:dyDescent="0.3">
      <c r="C230" s="4" t="str">
        <f t="shared" si="2"/>
        <v>Macroeconomic</v>
      </c>
      <c r="D230" s="15" t="str">
        <f t="shared" si="1"/>
        <v>Energy poverty</v>
      </c>
      <c r="E230" s="42">
        <f t="shared" ca="1" si="1"/>
        <v>34.269230769230766</v>
      </c>
      <c r="F230" s="68">
        <f t="shared" ca="1" si="3"/>
        <v>0.71270497267031052</v>
      </c>
      <c r="G230" s="69">
        <f t="shared" ca="1" si="4"/>
        <v>9.9889348086921732</v>
      </c>
    </row>
    <row r="231" spans="3:9" ht="15.75" thickBot="1" x14ac:dyDescent="0.3">
      <c r="C231" s="4" t="str">
        <f t="shared" si="2"/>
        <v>Macroeconomic</v>
      </c>
      <c r="D231" s="15" t="str">
        <f t="shared" si="1"/>
        <v>Talent scarcity</v>
      </c>
      <c r="E231" s="42">
        <f t="shared" ca="1" si="1"/>
        <v>27.833333333333332</v>
      </c>
      <c r="F231" s="68">
        <f t="shared" ca="1" si="3"/>
        <v>0.57885615251299827</v>
      </c>
      <c r="G231" s="69">
        <f t="shared" ca="1" si="4"/>
        <v>9.0519930675909883</v>
      </c>
    </row>
    <row r="232" spans="3:9" ht="15.75" thickBot="1" x14ac:dyDescent="0.3">
      <c r="C232" s="4" t="str">
        <f t="shared" si="2"/>
        <v>Macroeconomic</v>
      </c>
      <c r="D232" s="15" t="str">
        <f t="shared" si="1"/>
        <v>Energy prices &amp; volatility</v>
      </c>
      <c r="E232" s="42">
        <f t="shared" ca="1" si="1"/>
        <v>26.557692307692307</v>
      </c>
      <c r="F232" s="68">
        <f t="shared" ca="1" si="3"/>
        <v>0.55232635648580186</v>
      </c>
      <c r="G232" s="69">
        <f t="shared" ca="1" si="4"/>
        <v>8.8662844954006133</v>
      </c>
    </row>
    <row r="233" spans="3:9" ht="15.75" thickBot="1" x14ac:dyDescent="0.3">
      <c r="C233" s="4" t="str">
        <f t="shared" si="2"/>
        <v>Macroeconomic</v>
      </c>
      <c r="D233" s="15" t="str">
        <f t="shared" si="1"/>
        <v xml:space="preserve">Energy affordability </v>
      </c>
      <c r="E233" s="42">
        <f t="shared" ca="1" si="1"/>
        <v>26</v>
      </c>
      <c r="F233" s="68">
        <f t="shared" ca="1" si="3"/>
        <v>0.54072790294627382</v>
      </c>
      <c r="G233" s="69">
        <f t="shared" ca="1" si="4"/>
        <v>8.7850953206239168</v>
      </c>
    </row>
    <row r="234" spans="3:9" ht="15.75" thickBot="1" x14ac:dyDescent="0.3">
      <c r="C234" s="4" t="str">
        <f t="shared" si="2"/>
        <v>Macroeconomic</v>
      </c>
      <c r="D234" s="15" t="str">
        <f t="shared" si="1"/>
        <v>Commodity prices &amp; volatility</v>
      </c>
      <c r="E234" s="42">
        <f t="shared" ca="1" si="1"/>
        <v>23.23076923076923</v>
      </c>
      <c r="F234" s="68">
        <f t="shared" ca="1" si="3"/>
        <v>0.4831355819224103</v>
      </c>
      <c r="G234" s="69">
        <f t="shared" ca="1" si="4"/>
        <v>8.3819490734568731</v>
      </c>
    </row>
    <row r="235" spans="3:9" ht="15.75" thickBot="1" x14ac:dyDescent="0.3">
      <c r="C235" s="4" t="str">
        <f t="shared" si="2"/>
        <v>Vision &amp; technology</v>
      </c>
      <c r="D235" s="15" t="str">
        <f t="shared" si="1"/>
        <v>Carbon capture, utilisation &amp; storage (CCUS)</v>
      </c>
      <c r="E235" s="42">
        <f t="shared" ca="1" si="1"/>
        <v>22.403846153846153</v>
      </c>
      <c r="F235" s="68">
        <f t="shared" ca="1" si="3"/>
        <v>0.46593787495000666</v>
      </c>
      <c r="G235" s="69">
        <f t="shared" ca="1" si="4"/>
        <v>8.2615651246500477</v>
      </c>
    </row>
    <row r="236" spans="3:9" ht="15.75" thickBot="1" x14ac:dyDescent="0.3">
      <c r="C236" s="4" t="str">
        <f t="shared" si="2"/>
        <v>Business environment</v>
      </c>
      <c r="D236" s="15" t="str">
        <f t="shared" si="1"/>
        <v>Trade barriers</v>
      </c>
      <c r="E236" s="42">
        <f t="shared" ca="1" si="1"/>
        <v>20.884615384615383</v>
      </c>
      <c r="F236" s="68">
        <f t="shared" ca="1" si="3"/>
        <v>0.43434208772163707</v>
      </c>
      <c r="G236" s="69">
        <f t="shared" ca="1" si="4"/>
        <v>8.0403946140514595</v>
      </c>
    </row>
    <row r="237" spans="3:9" ht="15.75" thickBot="1" x14ac:dyDescent="0.3">
      <c r="C237" s="4" t="str">
        <f t="shared" si="2"/>
        <v>Vision &amp; technology</v>
      </c>
      <c r="D237" s="15" t="str">
        <f t="shared" si="1"/>
        <v>Biofuels</v>
      </c>
      <c r="E237" s="42">
        <f t="shared" ca="1" si="1"/>
        <v>19.365384615384617</v>
      </c>
      <c r="F237" s="68">
        <f t="shared" ca="1" si="3"/>
        <v>0.40274630049326759</v>
      </c>
      <c r="G237" s="69">
        <f t="shared" ca="1" si="4"/>
        <v>7.8192241034528731</v>
      </c>
    </row>
    <row r="238" spans="3:9" ht="15.75" thickBot="1" x14ac:dyDescent="0.3">
      <c r="C238" s="4" t="str">
        <f t="shared" si="2"/>
        <v>Business environment</v>
      </c>
      <c r="D238" s="15" t="str">
        <f t="shared" si="1"/>
        <v>Regional interconnection</v>
      </c>
      <c r="E238" s="42">
        <f t="shared" ca="1" si="1"/>
        <v>18.5</v>
      </c>
      <c r="F238" s="68">
        <f t="shared" ca="1" si="3"/>
        <v>0.3847487001733102</v>
      </c>
      <c r="G238" s="69">
        <f t="shared" ca="1" si="4"/>
        <v>7.6932409012131711</v>
      </c>
    </row>
    <row r="239" spans="3:9" ht="15.75" thickBot="1" x14ac:dyDescent="0.3">
      <c r="C239" s="4" t="str">
        <f t="shared" si="2"/>
        <v>Vision &amp; technology</v>
      </c>
      <c r="D239" s="15" t="str">
        <f t="shared" si="1"/>
        <v>Nuclear energy</v>
      </c>
      <c r="E239" s="42">
        <f t="shared" ca="1" si="1"/>
        <v>18.28846153846154</v>
      </c>
      <c r="F239" s="68">
        <f t="shared" ca="1" si="3"/>
        <v>0.3803492867617651</v>
      </c>
      <c r="G239" s="69">
        <f t="shared" ca="1" si="4"/>
        <v>7.6624450073323551</v>
      </c>
    </row>
    <row r="240" spans="3:9" ht="15.75" thickBot="1" x14ac:dyDescent="0.3">
      <c r="C240" s="4" t="str">
        <f t="shared" si="2"/>
        <v>Geopolitics &amp; regional</v>
      </c>
      <c r="D240" s="15" t="str">
        <f t="shared" si="1"/>
        <v>EU cohesion</v>
      </c>
      <c r="E240" s="42">
        <f t="shared" ca="1" si="1"/>
        <v>15.166666666666666</v>
      </c>
      <c r="F240" s="68">
        <f t="shared" ca="1" si="3"/>
        <v>0.31542461005199302</v>
      </c>
      <c r="G240" s="69">
        <f t="shared" ca="1" si="4"/>
        <v>7.2079722703639515</v>
      </c>
    </row>
    <row r="241" spans="3:32" ht="15.75" thickBot="1" x14ac:dyDescent="0.3">
      <c r="C241" s="4" t="str">
        <f t="shared" si="2"/>
        <v>Vision &amp; technology</v>
      </c>
      <c r="D241" s="15" t="str">
        <f t="shared" si="1"/>
        <v>Hydro power</v>
      </c>
      <c r="E241" s="42">
        <f t="shared" ca="1" si="1"/>
        <v>14.653846153846153</v>
      </c>
      <c r="F241" s="68">
        <f t="shared" ca="1" si="3"/>
        <v>0.30475936541794424</v>
      </c>
      <c r="G241" s="69">
        <f t="shared" ca="1" si="4"/>
        <v>7.1333155579256093</v>
      </c>
    </row>
    <row r="242" spans="3:32" ht="15.75" thickBot="1" x14ac:dyDescent="0.3">
      <c r="C242" s="4" t="str">
        <f t="shared" si="2"/>
        <v>Macroeconomic</v>
      </c>
      <c r="D242" s="15" t="str">
        <f t="shared" si="1"/>
        <v>Terrorism</v>
      </c>
      <c r="E242" s="42">
        <f ca="1">E198</f>
        <v>14.634615384615385</v>
      </c>
      <c r="F242" s="68">
        <f ca="1">E242/$E$250</f>
        <v>0.30435941874416744</v>
      </c>
      <c r="G242" s="69">
        <f t="shared" ca="1" si="4"/>
        <v>7.1305159312091719</v>
      </c>
    </row>
    <row r="243" spans="3:32" ht="15.75" thickBot="1" x14ac:dyDescent="0.3">
      <c r="C243" s="4" t="str">
        <f t="shared" si="2"/>
        <v>Geopolitics &amp; regional</v>
      </c>
      <c r="D243" s="15" t="str">
        <f t="shared" si="1"/>
        <v>Russia energy diplomacy</v>
      </c>
      <c r="E243" s="42">
        <f ca="1">E199</f>
        <v>13.666666666666666</v>
      </c>
      <c r="F243" s="68">
        <f ca="1">E243/$E$250</f>
        <v>0.28422876949740034</v>
      </c>
      <c r="G243" s="69">
        <f t="shared" ca="1" si="4"/>
        <v>6.9896013864818025</v>
      </c>
    </row>
    <row r="244" spans="3:32" ht="15.75" thickBot="1" x14ac:dyDescent="0.3">
      <c r="C244" s="4" t="str">
        <f t="shared" si="2"/>
        <v>Geopolitics &amp; regional</v>
      </c>
      <c r="D244" s="15" t="str">
        <f t="shared" si="1"/>
        <v>Middle East / North Africa fragility</v>
      </c>
      <c r="E244" s="14"/>
      <c r="F244" s="67"/>
      <c r="G244" s="50"/>
    </row>
    <row r="245" spans="3:32" ht="15.75" thickBot="1" x14ac:dyDescent="0.3">
      <c r="C245" s="4" t="str">
        <f t="shared" si="2"/>
        <v>Macroeconomic</v>
      </c>
      <c r="D245" s="15" t="str">
        <f t="shared" si="1"/>
        <v>Large scale accidents</v>
      </c>
      <c r="E245" s="14"/>
      <c r="F245" s="67"/>
      <c r="G245" s="50"/>
    </row>
    <row r="246" spans="3:32" ht="15.75" thickBot="1" x14ac:dyDescent="0.3">
      <c r="C246" s="4" t="str">
        <f t="shared" si="2"/>
        <v>Macroeconomic</v>
      </c>
      <c r="D246" s="47" t="str">
        <f t="shared" si="1"/>
        <v>Currency uncertainty</v>
      </c>
      <c r="E246" s="14"/>
      <c r="F246" s="14"/>
      <c r="G246" s="22"/>
    </row>
    <row r="247" spans="3:32" s="8" customFormat="1" ht="15.75" thickBot="1" x14ac:dyDescent="0.3">
      <c r="C247" s="4" t="str">
        <f t="shared" si="2"/>
        <v>Vision &amp; technology</v>
      </c>
      <c r="D247" s="47" t="str">
        <f>D203</f>
        <v>Hydrogen economy</v>
      </c>
      <c r="E247" s="14"/>
      <c r="F247" s="14"/>
      <c r="G247" s="22"/>
      <c r="AE247" s="9"/>
      <c r="AF247" s="22"/>
    </row>
    <row r="248" spans="3:32" s="8" customFormat="1" ht="15.75" thickBot="1" x14ac:dyDescent="0.3">
      <c r="C248" s="4" t="str">
        <f t="shared" si="2"/>
        <v>Macroeconomic</v>
      </c>
      <c r="D248" s="47" t="str">
        <f>D204</f>
        <v>Global Recesion</v>
      </c>
      <c r="E248" s="30"/>
      <c r="F248" s="30"/>
      <c r="G248" s="18"/>
      <c r="AE248" s="9"/>
      <c r="AF248" s="22"/>
    </row>
    <row r="249" spans="3:32" ht="15.75" thickBot="1" x14ac:dyDescent="0.3">
      <c r="G249" s="8"/>
    </row>
    <row r="250" spans="3:32" ht="15.75" thickBot="1" x14ac:dyDescent="0.3">
      <c r="D250" s="47" t="s">
        <v>223</v>
      </c>
      <c r="E250" s="96">
        <f ca="1">MAX(E217:E243)</f>
        <v>48.083333333333336</v>
      </c>
      <c r="G250" s="8"/>
    </row>
    <row r="252" spans="3:32" ht="15.75" thickBot="1" x14ac:dyDescent="0.3"/>
    <row r="253" spans="3:32" ht="27" customHeight="1" thickBot="1" x14ac:dyDescent="0.35">
      <c r="D253" s="192" t="s">
        <v>360</v>
      </c>
      <c r="E253" s="193"/>
      <c r="F253" s="193"/>
      <c r="G253" s="194"/>
    </row>
    <row r="254" spans="3:32" ht="45.75" thickBot="1" x14ac:dyDescent="0.3">
      <c r="C254" s="43" t="s">
        <v>240</v>
      </c>
      <c r="D254" s="71" t="s">
        <v>221</v>
      </c>
      <c r="E254" s="97" t="s">
        <v>353</v>
      </c>
      <c r="F254" s="108" t="s">
        <v>357</v>
      </c>
      <c r="G254" s="108" t="s">
        <v>356</v>
      </c>
    </row>
    <row r="255" spans="3:32" ht="15.75" thickBot="1" x14ac:dyDescent="0.3">
      <c r="C255" s="4" t="str">
        <f t="shared" ref="C255:E259" si="5">C168</f>
        <v>Business environment</v>
      </c>
      <c r="D255" s="15" t="str">
        <f t="shared" si="5"/>
        <v>Innovative market design &amp; policies</v>
      </c>
      <c r="E255" s="42">
        <f t="shared" ca="1" si="5"/>
        <v>66.36363636363636</v>
      </c>
      <c r="F255" s="68">
        <f ca="1">E255/$E$261</f>
        <v>1</v>
      </c>
      <c r="G255" s="69">
        <f ca="1">((F255*5)/100%)+12</f>
        <v>17</v>
      </c>
    </row>
    <row r="256" spans="3:32" ht="15.75" thickBot="1" x14ac:dyDescent="0.3">
      <c r="C256" s="4" t="str">
        <f t="shared" si="5"/>
        <v>Macroeconomic</v>
      </c>
      <c r="D256" s="15" t="str">
        <f t="shared" si="5"/>
        <v>Capital market constraints</v>
      </c>
      <c r="E256" s="42">
        <f t="shared" ca="1" si="5"/>
        <v>53.96153846153846</v>
      </c>
      <c r="F256" s="68">
        <f ca="1">E256/$E$261</f>
        <v>0.81311907270811379</v>
      </c>
      <c r="G256" s="69">
        <f ca="1">((F256*5)/100%)+12</f>
        <v>16.06559536354057</v>
      </c>
    </row>
    <row r="257" spans="3:7" ht="15.75" thickBot="1" x14ac:dyDescent="0.3">
      <c r="C257" s="4" t="str">
        <f t="shared" si="5"/>
        <v>Vision &amp; technology</v>
      </c>
      <c r="D257" s="15" t="str">
        <f t="shared" si="5"/>
        <v>Renewable energy</v>
      </c>
      <c r="E257" s="42">
        <f t="shared" ca="1" si="5"/>
        <v>50</v>
      </c>
      <c r="F257" s="68">
        <f ca="1">E257/$E$261</f>
        <v>0.75342465753424659</v>
      </c>
      <c r="G257" s="69">
        <f ca="1">((F257*5)/100%)+12</f>
        <v>15.767123287671232</v>
      </c>
    </row>
    <row r="258" spans="3:7" ht="15.75" thickBot="1" x14ac:dyDescent="0.3">
      <c r="C258" s="4" t="str">
        <f t="shared" si="5"/>
        <v>Vision &amp; technology</v>
      </c>
      <c r="D258" s="15" t="str">
        <f t="shared" si="5"/>
        <v>Unconventional fossil fuels</v>
      </c>
      <c r="E258" s="42">
        <f t="shared" ca="1" si="5"/>
        <v>49</v>
      </c>
      <c r="F258" s="68">
        <f ca="1">E258/$E$261</f>
        <v>0.73835616438356166</v>
      </c>
      <c r="G258" s="69">
        <f ca="1">((F258*5)/100%)+12</f>
        <v>15.691780821917808</v>
      </c>
    </row>
    <row r="259" spans="3:7" ht="15.75" thickBot="1" x14ac:dyDescent="0.3">
      <c r="C259" s="4" t="str">
        <f t="shared" si="5"/>
        <v>Vision &amp; technology</v>
      </c>
      <c r="D259" s="47" t="str">
        <f t="shared" si="5"/>
        <v>Energy Efficiency</v>
      </c>
      <c r="E259" s="59">
        <f t="shared" ca="1" si="5"/>
        <v>48.115384615384613</v>
      </c>
      <c r="F259" s="74">
        <f ca="1">E259/$E$261</f>
        <v>0.72502634351949424</v>
      </c>
      <c r="G259" s="75">
        <f ca="1">((F259*5)/100%)+12</f>
        <v>15.625131717597471</v>
      </c>
    </row>
    <row r="260" spans="3:7" ht="15.75" thickBot="1" x14ac:dyDescent="0.3">
      <c r="G260" s="8"/>
    </row>
    <row r="261" spans="3:7" ht="15.75" thickBot="1" x14ac:dyDescent="0.3">
      <c r="D261" s="47" t="s">
        <v>223</v>
      </c>
      <c r="E261" s="41">
        <f ca="1">MAX(E255:E259)</f>
        <v>66.36363636363636</v>
      </c>
      <c r="G261" s="8"/>
    </row>
    <row r="262" spans="3:7" x14ac:dyDescent="0.25">
      <c r="G262" s="8"/>
    </row>
    <row r="263" spans="3:7" x14ac:dyDescent="0.25">
      <c r="G263" s="8"/>
    </row>
    <row r="264" spans="3:7" ht="15.75" thickBot="1" x14ac:dyDescent="0.3">
      <c r="G264" s="8"/>
    </row>
    <row r="265" spans="3:7" ht="19.5" thickBot="1" x14ac:dyDescent="0.35">
      <c r="D265" s="192" t="s">
        <v>382</v>
      </c>
      <c r="E265" s="193"/>
      <c r="F265" s="193"/>
      <c r="G265" s="194"/>
    </row>
    <row r="266" spans="3:7" ht="45.75" thickBot="1" x14ac:dyDescent="0.3">
      <c r="C266" s="43" t="s">
        <v>240</v>
      </c>
      <c r="D266" s="71" t="s">
        <v>221</v>
      </c>
      <c r="E266" s="97" t="s">
        <v>353</v>
      </c>
      <c r="F266" s="108" t="s">
        <v>358</v>
      </c>
      <c r="G266" s="108" t="s">
        <v>356</v>
      </c>
    </row>
    <row r="267" spans="3:7" ht="15.75" thickBot="1" x14ac:dyDescent="0.3">
      <c r="C267" s="4" t="str">
        <f t="shared" ref="C267:E271" si="6">C200</f>
        <v>Geopolitics &amp; regional</v>
      </c>
      <c r="D267" s="15" t="str">
        <f t="shared" si="6"/>
        <v>Middle East / North Africa fragility</v>
      </c>
      <c r="E267" s="42">
        <f t="shared" ca="1" si="6"/>
        <v>7.75</v>
      </c>
      <c r="F267" s="68">
        <f ca="1">E267/$E$273</f>
        <v>1</v>
      </c>
      <c r="G267" s="69">
        <f ca="1">(F267*5)/$F$267</f>
        <v>5</v>
      </c>
    </row>
    <row r="268" spans="3:7" ht="15.75" thickBot="1" x14ac:dyDescent="0.3">
      <c r="C268" s="4" t="str">
        <f t="shared" si="6"/>
        <v>Macroeconomic</v>
      </c>
      <c r="D268" s="15" t="str">
        <f t="shared" si="6"/>
        <v>Large scale accidents</v>
      </c>
      <c r="E268" s="42">
        <f t="shared" ca="1" si="6"/>
        <v>6.0192307692307692</v>
      </c>
      <c r="F268" s="68">
        <f ca="1">E268/$E$273</f>
        <v>0.77667493796526055</v>
      </c>
      <c r="G268" s="69">
        <f ca="1">(F268*5)/$F$267</f>
        <v>3.8833746898263026</v>
      </c>
    </row>
    <row r="269" spans="3:7" ht="15.75" thickBot="1" x14ac:dyDescent="0.3">
      <c r="C269" s="4" t="str">
        <f t="shared" si="6"/>
        <v>Macroeconomic</v>
      </c>
      <c r="D269" s="15" t="str">
        <f t="shared" si="6"/>
        <v>Currency uncertainty</v>
      </c>
      <c r="E269" s="42">
        <f t="shared" ca="1" si="6"/>
        <v>5.083333333333333</v>
      </c>
      <c r="F269" s="68">
        <f ca="1">E269/$E$273</f>
        <v>0.65591397849462363</v>
      </c>
      <c r="G269" s="69">
        <f ca="1">(F269*5)/$F$267</f>
        <v>3.279569892473118</v>
      </c>
    </row>
    <row r="270" spans="3:7" ht="15.75" thickBot="1" x14ac:dyDescent="0.3">
      <c r="C270" s="4" t="str">
        <f t="shared" si="6"/>
        <v>Vision &amp; technology</v>
      </c>
      <c r="D270" s="15" t="str">
        <f t="shared" si="6"/>
        <v>Hydrogen economy</v>
      </c>
      <c r="E270" s="42">
        <f t="shared" ca="1" si="6"/>
        <v>3.0384615384615383</v>
      </c>
      <c r="F270" s="68">
        <f ca="1">E270/$E$273</f>
        <v>0.39205955334987591</v>
      </c>
      <c r="G270" s="69">
        <f ca="1">(F270*5)/$F$267</f>
        <v>1.9602977667493795</v>
      </c>
    </row>
    <row r="271" spans="3:7" ht="15.75" thickBot="1" x14ac:dyDescent="0.3">
      <c r="C271" s="4" t="str">
        <f t="shared" si="6"/>
        <v>Macroeconomic</v>
      </c>
      <c r="D271" s="47" t="str">
        <f t="shared" si="6"/>
        <v>Global Recesion</v>
      </c>
      <c r="E271" s="59">
        <f t="shared" ca="1" si="6"/>
        <v>0.63903846153846133</v>
      </c>
      <c r="F271" s="74">
        <f ca="1">E271/$E$273</f>
        <v>8.2456575682382113E-2</v>
      </c>
      <c r="G271" s="75">
        <f ca="1">(F271*5)/$F$267</f>
        <v>0.41228287841191058</v>
      </c>
    </row>
    <row r="272" spans="3:7" ht="15.75" thickBot="1" x14ac:dyDescent="0.3">
      <c r="G272" s="8"/>
    </row>
    <row r="273" spans="4:8" ht="15.75" thickBot="1" x14ac:dyDescent="0.3">
      <c r="D273" s="47" t="s">
        <v>223</v>
      </c>
      <c r="E273" s="41">
        <f ca="1">MAX(E267:E271)</f>
        <v>7.75</v>
      </c>
      <c r="G273" s="8"/>
    </row>
    <row r="274" spans="4:8" x14ac:dyDescent="0.25">
      <c r="G274" s="8"/>
    </row>
    <row r="275" spans="4:8" x14ac:dyDescent="0.25">
      <c r="G275" s="8"/>
    </row>
    <row r="276" spans="4:8" x14ac:dyDescent="0.25">
      <c r="G276" s="8"/>
    </row>
    <row r="277" spans="4:8" x14ac:dyDescent="0.25">
      <c r="G277" s="8"/>
    </row>
    <row r="278" spans="4:8" x14ac:dyDescent="0.25">
      <c r="G278" s="8"/>
    </row>
    <row r="279" spans="4:8" x14ac:dyDescent="0.25">
      <c r="G279" s="8"/>
    </row>
    <row r="280" spans="4:8" x14ac:dyDescent="0.25">
      <c r="G280" s="8"/>
    </row>
    <row r="281" spans="4:8" x14ac:dyDescent="0.25">
      <c r="G281" s="8"/>
    </row>
    <row r="282" spans="4:8" x14ac:dyDescent="0.25">
      <c r="G282" s="8"/>
    </row>
    <row r="283" spans="4:8" x14ac:dyDescent="0.25">
      <c r="G283" s="8"/>
    </row>
    <row r="284" spans="4:8" x14ac:dyDescent="0.25">
      <c r="G284" s="8"/>
      <c r="H284" s="8"/>
    </row>
    <row r="285" spans="4:8" x14ac:dyDescent="0.25">
      <c r="G285" s="8"/>
      <c r="H285" s="8"/>
    </row>
    <row r="286" spans="4:8" x14ac:dyDescent="0.25">
      <c r="G286" s="8"/>
      <c r="H286" s="8"/>
    </row>
    <row r="287" spans="4:8" x14ac:dyDescent="0.25">
      <c r="G287" s="8"/>
      <c r="H287" s="8"/>
    </row>
    <row r="288" spans="4:8" x14ac:dyDescent="0.25">
      <c r="G288" s="8"/>
      <c r="H288" s="8"/>
    </row>
    <row r="289" spans="7:8" x14ac:dyDescent="0.25">
      <c r="G289" s="8"/>
      <c r="H289" s="8"/>
    </row>
    <row r="290" spans="7:8" x14ac:dyDescent="0.25">
      <c r="G290" s="8"/>
      <c r="H290" s="8"/>
    </row>
    <row r="291" spans="7:8" x14ac:dyDescent="0.25">
      <c r="G291" s="8"/>
      <c r="H291" s="8"/>
    </row>
    <row r="292" spans="7:8" x14ac:dyDescent="0.25">
      <c r="G292" s="8"/>
      <c r="H292" s="8"/>
    </row>
    <row r="293" spans="7:8" x14ac:dyDescent="0.25">
      <c r="G293" s="8"/>
      <c r="H293" s="8"/>
    </row>
    <row r="294" spans="7:8" x14ac:dyDescent="0.25">
      <c r="G294" s="8"/>
      <c r="H294" s="8"/>
    </row>
    <row r="295" spans="7:8" x14ac:dyDescent="0.25">
      <c r="G295" s="8"/>
      <c r="H295" s="8"/>
    </row>
    <row r="296" spans="7:8" x14ac:dyDescent="0.25">
      <c r="G296" s="8"/>
      <c r="H296" s="8"/>
    </row>
    <row r="297" spans="7:8" x14ac:dyDescent="0.25">
      <c r="G297" s="8"/>
      <c r="H297" s="8"/>
    </row>
    <row r="298" spans="7:8" x14ac:dyDescent="0.25">
      <c r="G298" s="8"/>
      <c r="H298" s="8"/>
    </row>
    <row r="299" spans="7:8" x14ac:dyDescent="0.25">
      <c r="G299" s="8"/>
      <c r="H299" s="8"/>
    </row>
    <row r="300" spans="7:8" x14ac:dyDescent="0.25">
      <c r="G300" s="8"/>
      <c r="H300" s="8"/>
    </row>
    <row r="301" spans="7:8" x14ac:dyDescent="0.25">
      <c r="G301" s="8"/>
      <c r="H301" s="8"/>
    </row>
    <row r="302" spans="7:8" x14ac:dyDescent="0.25">
      <c r="G302" s="8"/>
      <c r="H302" s="8"/>
    </row>
    <row r="303" spans="7:8" x14ac:dyDescent="0.25">
      <c r="G303" s="8"/>
    </row>
    <row r="304" spans="7:8" x14ac:dyDescent="0.25">
      <c r="G304" s="8"/>
    </row>
    <row r="305" spans="7:7" x14ac:dyDescent="0.25">
      <c r="G305" s="8"/>
    </row>
    <row r="306" spans="7:7" x14ac:dyDescent="0.25">
      <c r="G306" s="8"/>
    </row>
    <row r="307" spans="7:7" x14ac:dyDescent="0.25">
      <c r="G307" s="8"/>
    </row>
    <row r="308" spans="7:7" x14ac:dyDescent="0.25">
      <c r="G308" s="8"/>
    </row>
    <row r="309" spans="7:7" x14ac:dyDescent="0.25">
      <c r="G309" s="8"/>
    </row>
    <row r="310" spans="7:7" x14ac:dyDescent="0.25">
      <c r="G310" s="8"/>
    </row>
    <row r="311" spans="7:7" x14ac:dyDescent="0.25">
      <c r="G311" s="8"/>
    </row>
    <row r="312" spans="7:7" x14ac:dyDescent="0.25">
      <c r="G312" s="8"/>
    </row>
    <row r="313" spans="7:7" x14ac:dyDescent="0.25">
      <c r="G313" s="8"/>
    </row>
    <row r="314" spans="7:7" x14ac:dyDescent="0.25">
      <c r="G314" s="8"/>
    </row>
    <row r="315" spans="7:7" x14ac:dyDescent="0.25">
      <c r="G315" s="8"/>
    </row>
    <row r="316" spans="7:7" x14ac:dyDescent="0.25">
      <c r="G316" s="8"/>
    </row>
    <row r="317" spans="7:7" x14ac:dyDescent="0.25">
      <c r="G317" s="8"/>
    </row>
    <row r="318" spans="7:7" x14ac:dyDescent="0.25">
      <c r="G318" s="8"/>
    </row>
    <row r="319" spans="7:7" x14ac:dyDescent="0.25">
      <c r="G319" s="8"/>
    </row>
    <row r="320" spans="7:7" x14ac:dyDescent="0.25">
      <c r="G320" s="8"/>
    </row>
  </sheetData>
  <sortState ref="C168:E204">
    <sortCondition descending="1" ref="E167"/>
  </sortState>
  <mergeCells count="80">
    <mergeCell ref="EK6:EL6"/>
    <mergeCell ref="EO6:EP6"/>
    <mergeCell ref="DR6:DS6"/>
    <mergeCell ref="DV6:DW6"/>
    <mergeCell ref="DZ6:EA6"/>
    <mergeCell ref="ED6:EE6"/>
    <mergeCell ref="EH6:EI6"/>
    <mergeCell ref="CX6:CY6"/>
    <mergeCell ref="DB6:DC6"/>
    <mergeCell ref="DF6:DG6"/>
    <mergeCell ref="DJ6:DK6"/>
    <mergeCell ref="DN6:DO6"/>
    <mergeCell ref="CD6:CE6"/>
    <mergeCell ref="CH6:CI6"/>
    <mergeCell ref="CL6:CM6"/>
    <mergeCell ref="CP6:CQ6"/>
    <mergeCell ref="CT6:CU6"/>
    <mergeCell ref="BJ6:BK6"/>
    <mergeCell ref="BN6:BO6"/>
    <mergeCell ref="BR6:BS6"/>
    <mergeCell ref="BV6:BW6"/>
    <mergeCell ref="BZ6:CA6"/>
    <mergeCell ref="AQ6:AR6"/>
    <mergeCell ref="AU6:AV6"/>
    <mergeCell ref="AY6:AZ6"/>
    <mergeCell ref="BC6:BD6"/>
    <mergeCell ref="BF6:BG6"/>
    <mergeCell ref="AA6:AB6"/>
    <mergeCell ref="AE4:AF4"/>
    <mergeCell ref="AE6:AF6"/>
    <mergeCell ref="AI6:AJ6"/>
    <mergeCell ref="AM6:AN6"/>
    <mergeCell ref="AM4:AN4"/>
    <mergeCell ref="AA4:AB4"/>
    <mergeCell ref="K6:L6"/>
    <mergeCell ref="O6:P6"/>
    <mergeCell ref="O4:P4"/>
    <mergeCell ref="S6:T6"/>
    <mergeCell ref="W6:X6"/>
    <mergeCell ref="S4:T4"/>
    <mergeCell ref="W4:X4"/>
    <mergeCell ref="K4:L4"/>
    <mergeCell ref="AQ4:AR4"/>
    <mergeCell ref="ED4:EE4"/>
    <mergeCell ref="EH4:EL4"/>
    <mergeCell ref="EO4:EP4"/>
    <mergeCell ref="DF4:DG4"/>
    <mergeCell ref="DJ4:DK4"/>
    <mergeCell ref="DN4:DO4"/>
    <mergeCell ref="DR4:DS4"/>
    <mergeCell ref="DV4:DW4"/>
    <mergeCell ref="AU4:AV4"/>
    <mergeCell ref="BR4:BS4"/>
    <mergeCell ref="AY4:AZ4"/>
    <mergeCell ref="BC4:BG4"/>
    <mergeCell ref="BJ4:BK4"/>
    <mergeCell ref="BN4:BO4"/>
    <mergeCell ref="CT4:CU4"/>
    <mergeCell ref="CX4:CY4"/>
    <mergeCell ref="DB4:DC4"/>
    <mergeCell ref="BV4:BW4"/>
    <mergeCell ref="BZ4:CA4"/>
    <mergeCell ref="CD4:CE4"/>
    <mergeCell ref="CH4:CI4"/>
    <mergeCell ref="B2:D6"/>
    <mergeCell ref="D265:G265"/>
    <mergeCell ref="D210:G210"/>
    <mergeCell ref="D253:G253"/>
    <mergeCell ref="FA6:FB6"/>
    <mergeCell ref="FA4:FB4"/>
    <mergeCell ref="C166:E166"/>
    <mergeCell ref="ES4:ET4"/>
    <mergeCell ref="ES6:ET6"/>
    <mergeCell ref="EW6:EX6"/>
    <mergeCell ref="EW4:EX4"/>
    <mergeCell ref="G4:H4"/>
    <mergeCell ref="G6:H6"/>
    <mergeCell ref="DZ4:EA4"/>
    <mergeCell ref="CL4:CM4"/>
    <mergeCell ref="CP4:CQ4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DK245"/>
  <sheetViews>
    <sheetView zoomScale="80" zoomScaleNormal="80" workbookViewId="0">
      <selection activeCell="D62" sqref="D62"/>
    </sheetView>
  </sheetViews>
  <sheetFormatPr baseColWidth="10" defaultRowHeight="15" x14ac:dyDescent="0.25"/>
  <cols>
    <col min="1" max="2" width="11.42578125" style="8"/>
    <col min="3" max="3" width="23.5703125" style="8" bestFit="1" customWidth="1"/>
    <col min="4" max="4" width="50" style="8" bestFit="1" customWidth="1"/>
    <col min="5" max="5" width="23.5703125" customWidth="1"/>
    <col min="6" max="6" width="19.5703125" style="3" customWidth="1"/>
    <col min="7" max="7" width="25.42578125" style="8" customWidth="1"/>
    <col min="8" max="8" width="13.5703125" style="8" customWidth="1"/>
    <col min="9" max="9" width="42.140625" style="8" customWidth="1"/>
    <col min="10" max="10" width="18.7109375" style="8" bestFit="1" customWidth="1"/>
    <col min="12" max="12" width="32.5703125" bestFit="1" customWidth="1"/>
    <col min="13" max="13" width="18.7109375" bestFit="1" customWidth="1"/>
    <col min="15" max="15" width="36.85546875" bestFit="1" customWidth="1"/>
    <col min="16" max="16" width="19.5703125" bestFit="1" customWidth="1"/>
    <col min="18" max="18" width="40.28515625" bestFit="1" customWidth="1"/>
    <col min="19" max="19" width="19.5703125" bestFit="1" customWidth="1"/>
    <col min="21" max="21" width="29.7109375" customWidth="1"/>
    <col min="22" max="22" width="19.5703125" bestFit="1" customWidth="1"/>
    <col min="24" max="24" width="34" customWidth="1"/>
    <col min="25" max="25" width="19.5703125" bestFit="1" customWidth="1"/>
    <col min="27" max="27" width="32.140625" bestFit="1" customWidth="1"/>
    <col min="28" max="28" width="19.5703125" bestFit="1" customWidth="1"/>
    <col min="30" max="30" width="30.28515625" bestFit="1" customWidth="1"/>
    <col min="31" max="31" width="19.5703125" bestFit="1" customWidth="1"/>
    <col min="33" max="33" width="23.5703125" customWidth="1"/>
    <col min="34" max="34" width="19.5703125" bestFit="1" customWidth="1"/>
    <col min="36" max="36" width="24.42578125" bestFit="1" customWidth="1"/>
    <col min="37" max="37" width="19.5703125" bestFit="1" customWidth="1"/>
    <col min="39" max="39" width="23.42578125" bestFit="1" customWidth="1"/>
    <col min="40" max="40" width="19.5703125" bestFit="1" customWidth="1"/>
    <col min="42" max="42" width="23.5703125" bestFit="1" customWidth="1"/>
    <col min="43" max="43" width="21.140625" customWidth="1"/>
    <col min="45" max="45" width="23.85546875" bestFit="1" customWidth="1"/>
    <col min="46" max="46" width="19.5703125" bestFit="1" customWidth="1"/>
    <col min="48" max="48" width="28.85546875" bestFit="1" customWidth="1"/>
    <col min="49" max="49" width="19.5703125" bestFit="1" customWidth="1"/>
    <col min="51" max="51" width="27.7109375" bestFit="1" customWidth="1"/>
    <col min="52" max="52" width="19.5703125" bestFit="1" customWidth="1"/>
    <col min="54" max="54" width="48.5703125" bestFit="1" customWidth="1"/>
    <col min="55" max="55" width="19.5703125" bestFit="1" customWidth="1"/>
    <col min="57" max="57" width="63.85546875" bestFit="1" customWidth="1"/>
    <col min="58" max="58" width="19.5703125" bestFit="1" customWidth="1"/>
    <col min="60" max="60" width="25" bestFit="1" customWidth="1"/>
    <col min="61" max="61" width="19.5703125" bestFit="1" customWidth="1"/>
    <col min="63" max="63" width="32.42578125" customWidth="1"/>
    <col min="64" max="64" width="18.7109375" customWidth="1"/>
    <col min="66" max="66" width="52" customWidth="1"/>
    <col min="67" max="67" width="19.5703125" bestFit="1" customWidth="1"/>
    <col min="69" max="69" width="40.140625" bestFit="1" customWidth="1"/>
    <col min="70" max="70" width="19.5703125" bestFit="1" customWidth="1"/>
    <col min="72" max="72" width="42.140625" bestFit="1" customWidth="1"/>
    <col min="73" max="73" width="19.5703125" bestFit="1" customWidth="1"/>
    <col min="75" max="75" width="37.28515625" bestFit="1" customWidth="1"/>
    <col min="76" max="76" width="19.5703125" bestFit="1" customWidth="1"/>
    <col min="78" max="78" width="34.28515625" bestFit="1" customWidth="1"/>
    <col min="79" max="79" width="19.5703125" bestFit="1" customWidth="1"/>
    <col min="81" max="81" width="25.7109375" bestFit="1" customWidth="1"/>
    <col min="82" max="82" width="19.5703125" bestFit="1" customWidth="1"/>
    <col min="84" max="84" width="34.5703125" customWidth="1"/>
    <col min="85" max="85" width="19.5703125" bestFit="1" customWidth="1"/>
    <col min="87" max="87" width="22.85546875" bestFit="1" customWidth="1"/>
    <col min="88" max="88" width="19.5703125" bestFit="1" customWidth="1"/>
    <col min="90" max="90" width="30.42578125" customWidth="1"/>
    <col min="91" max="91" width="18.140625" customWidth="1"/>
    <col min="93" max="93" width="23.42578125" customWidth="1"/>
    <col min="94" max="94" width="25.140625" customWidth="1"/>
    <col min="96" max="96" width="26" customWidth="1"/>
    <col min="97" max="97" width="25.42578125" customWidth="1"/>
    <col min="99" max="99" width="24.28515625" bestFit="1" customWidth="1"/>
    <col min="100" max="100" width="19.5703125" bestFit="1" customWidth="1"/>
    <col min="102" max="102" width="28.5703125" customWidth="1"/>
    <col min="103" max="103" width="19.5703125" bestFit="1" customWidth="1"/>
    <col min="105" max="105" width="32.85546875" bestFit="1" customWidth="1"/>
    <col min="106" max="106" width="18.5703125" customWidth="1"/>
    <col min="108" max="108" width="23.5703125" bestFit="1" customWidth="1"/>
    <col min="109" max="109" width="19.5703125" bestFit="1" customWidth="1"/>
    <col min="111" max="111" width="15.28515625" bestFit="1" customWidth="1"/>
    <col min="112" max="112" width="19.7109375" customWidth="1"/>
    <col min="114" max="114" width="16.42578125" customWidth="1"/>
    <col min="115" max="115" width="21.7109375" customWidth="1"/>
  </cols>
  <sheetData>
    <row r="1" spans="2:115" s="40" customFormat="1" x14ac:dyDescent="0.25"/>
    <row r="2" spans="2:115" ht="15.75" customHeight="1" thickBot="1" x14ac:dyDescent="0.3">
      <c r="B2" s="187" t="s">
        <v>350</v>
      </c>
      <c r="C2" s="187"/>
      <c r="D2" s="187"/>
      <c r="F2" s="8"/>
    </row>
    <row r="3" spans="2:115" ht="15.75" customHeight="1" thickBot="1" x14ac:dyDescent="0.3">
      <c r="B3" s="187"/>
      <c r="C3" s="187"/>
      <c r="D3" s="187"/>
      <c r="F3" s="210" t="s">
        <v>0</v>
      </c>
      <c r="G3" s="21" t="s">
        <v>213</v>
      </c>
      <c r="I3" s="210" t="s">
        <v>1</v>
      </c>
      <c r="J3" s="21" t="s">
        <v>213</v>
      </c>
      <c r="L3" s="210" t="s">
        <v>2</v>
      </c>
      <c r="M3" s="21" t="s">
        <v>213</v>
      </c>
      <c r="O3" s="210" t="s">
        <v>3</v>
      </c>
      <c r="P3" s="21" t="s">
        <v>213</v>
      </c>
      <c r="R3" s="210" t="s">
        <v>4</v>
      </c>
      <c r="S3" s="21" t="s">
        <v>213</v>
      </c>
      <c r="U3" s="210" t="s">
        <v>5</v>
      </c>
      <c r="V3" s="21" t="s">
        <v>213</v>
      </c>
      <c r="X3" s="210" t="s">
        <v>7</v>
      </c>
      <c r="Y3" s="21" t="s">
        <v>213</v>
      </c>
      <c r="AA3" s="210" t="s">
        <v>36</v>
      </c>
      <c r="AB3" s="21" t="s">
        <v>213</v>
      </c>
      <c r="AD3" s="210" t="s">
        <v>9</v>
      </c>
      <c r="AE3" s="21" t="s">
        <v>213</v>
      </c>
      <c r="AG3" s="210" t="s">
        <v>10</v>
      </c>
      <c r="AH3" s="21" t="s">
        <v>213</v>
      </c>
      <c r="AJ3" s="210" t="s">
        <v>12</v>
      </c>
      <c r="AK3" s="21" t="s">
        <v>213</v>
      </c>
      <c r="AM3" s="210" t="s">
        <v>11</v>
      </c>
      <c r="AN3" s="21" t="s">
        <v>213</v>
      </c>
      <c r="AP3" s="210" t="s">
        <v>13</v>
      </c>
      <c r="AQ3" s="21" t="s">
        <v>213</v>
      </c>
      <c r="AS3" s="210" t="s">
        <v>15</v>
      </c>
      <c r="AT3" s="21" t="s">
        <v>213</v>
      </c>
      <c r="AV3" s="210" t="s">
        <v>37</v>
      </c>
      <c r="AW3" s="21" t="s">
        <v>213</v>
      </c>
      <c r="AY3" s="210" t="s">
        <v>17</v>
      </c>
      <c r="AZ3" s="21" t="s">
        <v>213</v>
      </c>
      <c r="BB3" s="210" t="s">
        <v>188</v>
      </c>
      <c r="BC3" s="21" t="s">
        <v>213</v>
      </c>
      <c r="BE3" s="210" t="s">
        <v>18</v>
      </c>
      <c r="BF3" s="21" t="s">
        <v>213</v>
      </c>
      <c r="BH3" s="210" t="s">
        <v>19</v>
      </c>
      <c r="BI3" s="21" t="s">
        <v>213</v>
      </c>
      <c r="BK3" s="210" t="s">
        <v>20</v>
      </c>
      <c r="BL3" s="21" t="s">
        <v>213</v>
      </c>
      <c r="BN3" s="210" t="s">
        <v>21</v>
      </c>
      <c r="BO3" s="21" t="s">
        <v>213</v>
      </c>
      <c r="BQ3" s="210" t="s">
        <v>22</v>
      </c>
      <c r="BR3" s="21" t="s">
        <v>213</v>
      </c>
      <c r="BT3" s="210" t="s">
        <v>23</v>
      </c>
      <c r="BU3" s="21" t="s">
        <v>213</v>
      </c>
      <c r="BW3" s="210" t="s">
        <v>24</v>
      </c>
      <c r="BX3" s="21" t="s">
        <v>213</v>
      </c>
      <c r="BZ3" s="210" t="s">
        <v>25</v>
      </c>
      <c r="CA3" s="21" t="s">
        <v>213</v>
      </c>
      <c r="CC3" s="210" t="s">
        <v>26</v>
      </c>
      <c r="CD3" s="21" t="s">
        <v>213</v>
      </c>
      <c r="CF3" s="210" t="s">
        <v>38</v>
      </c>
      <c r="CG3" s="21" t="s">
        <v>213</v>
      </c>
      <c r="CI3" s="210" t="s">
        <v>27</v>
      </c>
      <c r="CJ3" s="21" t="s">
        <v>213</v>
      </c>
      <c r="CL3" s="210" t="s">
        <v>28</v>
      </c>
      <c r="CM3" s="21" t="s">
        <v>213</v>
      </c>
      <c r="CO3" s="210" t="s">
        <v>29</v>
      </c>
      <c r="CP3" s="21" t="s">
        <v>213</v>
      </c>
      <c r="CR3" s="210" t="s">
        <v>30</v>
      </c>
      <c r="CS3" s="21" t="s">
        <v>213</v>
      </c>
      <c r="CU3" s="210" t="s">
        <v>31</v>
      </c>
      <c r="CV3" s="21" t="s">
        <v>213</v>
      </c>
      <c r="CX3" s="210" t="s">
        <v>32</v>
      </c>
      <c r="CY3" s="21" t="s">
        <v>213</v>
      </c>
      <c r="DA3" s="210" t="s">
        <v>33</v>
      </c>
      <c r="DB3" s="21" t="s">
        <v>213</v>
      </c>
      <c r="DD3" s="210" t="s">
        <v>35</v>
      </c>
      <c r="DE3" s="21" t="s">
        <v>213</v>
      </c>
      <c r="DG3" s="210" t="s">
        <v>219</v>
      </c>
      <c r="DH3" s="21" t="s">
        <v>213</v>
      </c>
      <c r="DJ3" s="210" t="s">
        <v>220</v>
      </c>
      <c r="DK3" s="21" t="s">
        <v>213</v>
      </c>
    </row>
    <row r="4" spans="2:115" ht="15.75" customHeight="1" thickBot="1" x14ac:dyDescent="0.3">
      <c r="B4" s="187"/>
      <c r="C4" s="187"/>
      <c r="D4" s="187"/>
      <c r="F4" s="211"/>
      <c r="G4" s="19">
        <v>66300</v>
      </c>
      <c r="I4" s="211"/>
      <c r="J4" s="18">
        <v>368</v>
      </c>
      <c r="L4" s="211"/>
      <c r="M4" s="18">
        <v>5530</v>
      </c>
      <c r="O4" s="211"/>
      <c r="P4" s="109">
        <v>2860</v>
      </c>
      <c r="R4" s="211"/>
      <c r="S4" s="109">
        <v>33100</v>
      </c>
      <c r="U4" s="211"/>
      <c r="V4" s="109">
        <v>11600</v>
      </c>
      <c r="X4" s="211"/>
      <c r="Y4" s="109">
        <v>7380</v>
      </c>
      <c r="AA4" s="211"/>
      <c r="AB4" s="109">
        <v>492</v>
      </c>
      <c r="AD4" s="211"/>
      <c r="AE4" s="109">
        <v>693</v>
      </c>
      <c r="AG4" s="211"/>
      <c r="AH4" s="109">
        <v>48200</v>
      </c>
      <c r="AJ4" s="211"/>
      <c r="AK4" s="109">
        <v>5330</v>
      </c>
      <c r="AM4" s="211"/>
      <c r="AN4" s="109">
        <v>53200000</v>
      </c>
      <c r="AP4" s="211"/>
      <c r="AQ4" s="109">
        <v>137000</v>
      </c>
      <c r="AS4" s="211"/>
      <c r="AT4" s="109">
        <v>61300</v>
      </c>
      <c r="AV4" s="211"/>
      <c r="AW4" s="109">
        <v>142000</v>
      </c>
      <c r="AY4" s="211"/>
      <c r="AZ4" s="109">
        <v>852</v>
      </c>
      <c r="BB4" s="211"/>
      <c r="BC4" s="109">
        <v>4580</v>
      </c>
      <c r="BE4" s="211"/>
      <c r="BF4" s="109">
        <v>5840</v>
      </c>
      <c r="BH4" s="211"/>
      <c r="BI4" s="109">
        <v>157000</v>
      </c>
      <c r="BK4" s="211"/>
      <c r="BL4" s="109">
        <v>16300</v>
      </c>
      <c r="BN4" s="211"/>
      <c r="BO4" s="109">
        <v>1170</v>
      </c>
      <c r="BQ4" s="211"/>
      <c r="BR4" s="109">
        <v>140000</v>
      </c>
      <c r="BT4" s="211"/>
      <c r="BU4" s="109">
        <v>19200</v>
      </c>
      <c r="BW4" s="211"/>
      <c r="BX4" s="109">
        <v>9720</v>
      </c>
      <c r="BZ4" s="211"/>
      <c r="CA4" s="109">
        <v>1360000</v>
      </c>
      <c r="CC4" s="211"/>
      <c r="CD4" s="109">
        <v>15400</v>
      </c>
      <c r="CF4" s="211"/>
      <c r="CG4" s="109">
        <v>3200</v>
      </c>
      <c r="CI4" s="211"/>
      <c r="CJ4" s="109">
        <v>53300</v>
      </c>
      <c r="CL4" s="211"/>
      <c r="CM4" s="109">
        <v>10300</v>
      </c>
      <c r="CO4" s="211"/>
      <c r="CP4" s="109">
        <v>2200</v>
      </c>
      <c r="CR4" s="211"/>
      <c r="CS4" s="109">
        <v>32400</v>
      </c>
      <c r="CU4" s="211"/>
      <c r="CV4" s="109">
        <v>13900</v>
      </c>
      <c r="CX4" s="211"/>
      <c r="CY4" s="109">
        <v>5720</v>
      </c>
      <c r="DA4" s="211"/>
      <c r="DB4" s="109">
        <v>412</v>
      </c>
      <c r="DD4" s="211"/>
      <c r="DE4" s="109">
        <v>4620</v>
      </c>
      <c r="DG4" s="211"/>
      <c r="DH4" s="109">
        <v>40400</v>
      </c>
      <c r="DJ4" s="211"/>
      <c r="DK4" s="19">
        <v>77000</v>
      </c>
    </row>
    <row r="5" spans="2:115" ht="15" customHeight="1" x14ac:dyDescent="0.25">
      <c r="E5" s="8"/>
      <c r="F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DD5" s="8"/>
      <c r="DE5" s="8"/>
    </row>
    <row r="6" spans="2:115" s="8" customFormat="1" ht="15" customHeight="1" x14ac:dyDescent="0.25"/>
    <row r="7" spans="2:115" s="8" customFormat="1" ht="15" customHeight="1" x14ac:dyDescent="0.25"/>
    <row r="8" spans="2:115" s="8" customFormat="1" ht="15" customHeight="1" x14ac:dyDescent="0.25"/>
    <row r="9" spans="2:115" s="8" customFormat="1" ht="15" customHeight="1" x14ac:dyDescent="0.25">
      <c r="C9"/>
    </row>
    <row r="10" spans="2:115" s="8" customFormat="1" ht="15" customHeight="1" x14ac:dyDescent="0.25"/>
    <row r="11" spans="2:115" s="8" customFormat="1" ht="15" customHeight="1" x14ac:dyDescent="0.25"/>
    <row r="12" spans="2:115" s="8" customFormat="1" ht="15" customHeight="1" x14ac:dyDescent="0.25"/>
    <row r="13" spans="2:115" s="8" customFormat="1" ht="15" customHeight="1" x14ac:dyDescent="0.25"/>
    <row r="14" spans="2:115" s="8" customFormat="1" ht="15" customHeight="1" x14ac:dyDescent="0.25"/>
    <row r="15" spans="2:115" s="8" customFormat="1" ht="15" customHeight="1" x14ac:dyDescent="0.25"/>
    <row r="16" spans="2:115" s="8" customFormat="1" ht="15" customHeight="1" x14ac:dyDescent="0.25"/>
    <row r="17" spans="3:36" s="8" customFormat="1" ht="15" customHeight="1" x14ac:dyDescent="0.25"/>
    <row r="18" spans="3:36" s="76" customFormat="1" ht="409.6" customHeight="1" x14ac:dyDescent="0.25"/>
    <row r="19" spans="3:36" x14ac:dyDescent="0.25">
      <c r="E19" s="8"/>
      <c r="F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</row>
    <row r="20" spans="3:36" x14ac:dyDescent="0.25">
      <c r="F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</row>
    <row r="21" spans="3:36" ht="15.75" thickBot="1" x14ac:dyDescent="0.3">
      <c r="E21" s="8"/>
      <c r="F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</row>
    <row r="22" spans="3:36" ht="15.75" thickBot="1" x14ac:dyDescent="0.3">
      <c r="C22" s="36"/>
      <c r="D22" s="79" t="s">
        <v>221</v>
      </c>
      <c r="E22" s="80" t="s">
        <v>213</v>
      </c>
      <c r="F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</row>
    <row r="23" spans="3:36" ht="15.75" thickBot="1" x14ac:dyDescent="0.3">
      <c r="C23" s="53" t="s">
        <v>233</v>
      </c>
      <c r="D23" s="15" t="s">
        <v>219</v>
      </c>
      <c r="E23" s="20">
        <f ca="1">INDIRECT(CONCATENATE("News!B",F23))</f>
        <v>40400</v>
      </c>
      <c r="F23" s="124">
        <v>2</v>
      </c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</row>
    <row r="24" spans="3:36" ht="15.75" thickBot="1" x14ac:dyDescent="0.3">
      <c r="C24" s="54" t="s">
        <v>233</v>
      </c>
      <c r="D24" s="15" t="s">
        <v>1</v>
      </c>
      <c r="E24" s="20">
        <f t="shared" ref="E24:E59" ca="1" si="0">INDIRECT(CONCATENATE("News!B",F24))</f>
        <v>368</v>
      </c>
      <c r="F24" s="124">
        <v>3</v>
      </c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</row>
    <row r="25" spans="3:36" ht="15.75" thickBot="1" x14ac:dyDescent="0.3">
      <c r="C25" s="54" t="s">
        <v>233</v>
      </c>
      <c r="D25" s="15" t="s">
        <v>2</v>
      </c>
      <c r="E25" s="20">
        <f t="shared" ca="1" si="0"/>
        <v>5530</v>
      </c>
      <c r="F25" s="124">
        <v>4</v>
      </c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</row>
    <row r="26" spans="3:36" ht="15.75" thickBot="1" x14ac:dyDescent="0.3">
      <c r="C26" s="54" t="s">
        <v>233</v>
      </c>
      <c r="D26" s="15" t="s">
        <v>3</v>
      </c>
      <c r="E26" s="20">
        <f t="shared" ca="1" si="0"/>
        <v>2860</v>
      </c>
      <c r="F26" s="124">
        <v>5</v>
      </c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</row>
    <row r="27" spans="3:36" ht="15.75" thickBot="1" x14ac:dyDescent="0.3">
      <c r="C27" s="54" t="s">
        <v>233</v>
      </c>
      <c r="D27" s="15" t="s">
        <v>4</v>
      </c>
      <c r="E27" s="20">
        <f t="shared" ca="1" si="0"/>
        <v>33100</v>
      </c>
      <c r="F27" s="124">
        <v>6</v>
      </c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</row>
    <row r="28" spans="3:36" ht="15.75" thickBot="1" x14ac:dyDescent="0.3">
      <c r="C28" s="54" t="s">
        <v>233</v>
      </c>
      <c r="D28" s="15" t="s">
        <v>5</v>
      </c>
      <c r="E28" s="20">
        <f t="shared" ca="1" si="0"/>
        <v>11600</v>
      </c>
      <c r="F28" s="124">
        <v>7</v>
      </c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</row>
    <row r="29" spans="3:36" ht="15.75" thickBot="1" x14ac:dyDescent="0.3">
      <c r="C29" s="54" t="s">
        <v>233</v>
      </c>
      <c r="D29" s="15" t="s">
        <v>7</v>
      </c>
      <c r="E29" s="20">
        <f t="shared" ca="1" si="0"/>
        <v>7380</v>
      </c>
      <c r="F29" s="124">
        <v>8</v>
      </c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</row>
    <row r="30" spans="3:36" ht="15.75" thickBot="1" x14ac:dyDescent="0.3">
      <c r="C30" s="54" t="s">
        <v>233</v>
      </c>
      <c r="D30" s="15" t="s">
        <v>8</v>
      </c>
      <c r="E30" s="20">
        <f t="shared" ca="1" si="0"/>
        <v>492</v>
      </c>
      <c r="F30" s="124">
        <v>9</v>
      </c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</row>
    <row r="31" spans="3:36" ht="15.75" thickBot="1" x14ac:dyDescent="0.3">
      <c r="C31" s="54" t="s">
        <v>233</v>
      </c>
      <c r="D31" s="38" t="s">
        <v>9</v>
      </c>
      <c r="E31" s="20">
        <f t="shared" ca="1" si="0"/>
        <v>693</v>
      </c>
      <c r="F31" s="124">
        <v>10</v>
      </c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</row>
    <row r="32" spans="3:36" ht="15.75" thickBot="1" x14ac:dyDescent="0.3">
      <c r="C32" s="54" t="s">
        <v>233</v>
      </c>
      <c r="D32" s="15" t="s">
        <v>10</v>
      </c>
      <c r="E32" s="20">
        <f t="shared" ca="1" si="0"/>
        <v>48200</v>
      </c>
      <c r="F32" s="124">
        <v>11</v>
      </c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</row>
    <row r="33" spans="3:36" ht="15.75" thickBot="1" x14ac:dyDescent="0.3">
      <c r="C33" s="54" t="s">
        <v>233</v>
      </c>
      <c r="D33" s="15" t="s">
        <v>12</v>
      </c>
      <c r="E33" s="20">
        <f t="shared" ca="1" si="0"/>
        <v>5330</v>
      </c>
      <c r="F33" s="124">
        <v>12</v>
      </c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</row>
    <row r="34" spans="3:36" ht="15.75" thickBot="1" x14ac:dyDescent="0.3">
      <c r="C34" s="54" t="s">
        <v>233</v>
      </c>
      <c r="D34" s="15" t="s">
        <v>11</v>
      </c>
      <c r="E34" s="20">
        <f t="shared" ca="1" si="0"/>
        <v>53200000</v>
      </c>
      <c r="F34" s="124">
        <v>13</v>
      </c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</row>
    <row r="35" spans="3:36" ht="15.75" thickBot="1" x14ac:dyDescent="0.3">
      <c r="C35" s="54" t="s">
        <v>233</v>
      </c>
      <c r="D35" s="15" t="s">
        <v>19</v>
      </c>
      <c r="E35" s="20">
        <f t="shared" ca="1" si="0"/>
        <v>157000</v>
      </c>
      <c r="F35" s="124">
        <v>14</v>
      </c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</row>
    <row r="36" spans="3:36" ht="15.75" thickBot="1" x14ac:dyDescent="0.3">
      <c r="C36" s="55" t="s">
        <v>235</v>
      </c>
      <c r="D36" s="15" t="s">
        <v>13</v>
      </c>
      <c r="E36" s="20">
        <f t="shared" ca="1" si="0"/>
        <v>137000</v>
      </c>
      <c r="F36" s="124">
        <v>15</v>
      </c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</row>
    <row r="37" spans="3:36" ht="15.75" thickBot="1" x14ac:dyDescent="0.3">
      <c r="C37" s="55" t="s">
        <v>235</v>
      </c>
      <c r="D37" s="15" t="s">
        <v>15</v>
      </c>
      <c r="E37" s="20">
        <f t="shared" ca="1" si="0"/>
        <v>61300</v>
      </c>
      <c r="F37" s="124">
        <v>16</v>
      </c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</row>
    <row r="38" spans="3:36" ht="15.75" thickBot="1" x14ac:dyDescent="0.3">
      <c r="C38" s="55" t="s">
        <v>235</v>
      </c>
      <c r="D38" s="15" t="s">
        <v>16</v>
      </c>
      <c r="E38" s="20">
        <f t="shared" ca="1" si="0"/>
        <v>142000</v>
      </c>
      <c r="F38" s="124">
        <v>17</v>
      </c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</row>
    <row r="39" spans="3:36" ht="15.75" thickBot="1" x14ac:dyDescent="0.3">
      <c r="C39" s="55" t="s">
        <v>235</v>
      </c>
      <c r="D39" s="15" t="s">
        <v>17</v>
      </c>
      <c r="E39" s="20">
        <f t="shared" ca="1" si="0"/>
        <v>852</v>
      </c>
      <c r="F39" s="124">
        <v>18</v>
      </c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</row>
    <row r="40" spans="3:36" ht="15.75" thickBot="1" x14ac:dyDescent="0.3">
      <c r="C40" s="55" t="s">
        <v>235</v>
      </c>
      <c r="D40" s="15" t="s">
        <v>187</v>
      </c>
      <c r="E40" s="20">
        <f t="shared" ca="1" si="0"/>
        <v>4580</v>
      </c>
      <c r="F40" s="124">
        <v>19</v>
      </c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</row>
    <row r="41" spans="3:36" ht="15.75" thickBot="1" x14ac:dyDescent="0.3">
      <c r="C41" s="55" t="s">
        <v>235</v>
      </c>
      <c r="D41" s="15" t="s">
        <v>18</v>
      </c>
      <c r="E41" s="20">
        <f t="shared" ca="1" si="0"/>
        <v>5840</v>
      </c>
      <c r="F41" s="124">
        <v>20</v>
      </c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</row>
    <row r="42" spans="3:36" ht="15.75" thickBot="1" x14ac:dyDescent="0.3">
      <c r="C42" s="56" t="s">
        <v>234</v>
      </c>
      <c r="D42" s="15" t="s">
        <v>20</v>
      </c>
      <c r="E42" s="20">
        <f t="shared" ca="1" si="0"/>
        <v>16300</v>
      </c>
      <c r="F42" s="124">
        <v>21</v>
      </c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</row>
    <row r="43" spans="3:36" ht="15.75" thickBot="1" x14ac:dyDescent="0.3">
      <c r="C43" s="56" t="s">
        <v>234</v>
      </c>
      <c r="D43" s="15" t="s">
        <v>21</v>
      </c>
      <c r="E43" s="20">
        <f t="shared" ca="1" si="0"/>
        <v>1170</v>
      </c>
      <c r="F43" s="124">
        <v>22</v>
      </c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</row>
    <row r="44" spans="3:36" ht="15.75" thickBot="1" x14ac:dyDescent="0.3">
      <c r="C44" s="56" t="s">
        <v>234</v>
      </c>
      <c r="D44" s="15" t="s">
        <v>22</v>
      </c>
      <c r="E44" s="20">
        <f t="shared" ca="1" si="0"/>
        <v>140000</v>
      </c>
      <c r="F44" s="124">
        <v>23</v>
      </c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</row>
    <row r="45" spans="3:36" ht="15.75" thickBot="1" x14ac:dyDescent="0.3">
      <c r="C45" s="56" t="s">
        <v>234</v>
      </c>
      <c r="D45" s="15" t="s">
        <v>23</v>
      </c>
      <c r="E45" s="20">
        <f t="shared" ca="1" si="0"/>
        <v>19200</v>
      </c>
      <c r="F45" s="124">
        <v>24</v>
      </c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</row>
    <row r="46" spans="3:36" ht="15.75" thickBot="1" x14ac:dyDescent="0.3">
      <c r="C46" s="56" t="s">
        <v>234</v>
      </c>
      <c r="D46" s="15" t="s">
        <v>24</v>
      </c>
      <c r="E46" s="20">
        <f t="shared" ca="1" si="0"/>
        <v>9720</v>
      </c>
      <c r="F46" s="124">
        <v>25</v>
      </c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</row>
    <row r="47" spans="3:36" ht="15.75" thickBot="1" x14ac:dyDescent="0.3">
      <c r="C47" s="56" t="s">
        <v>234</v>
      </c>
      <c r="D47" s="15" t="s">
        <v>25</v>
      </c>
      <c r="E47" s="20">
        <f t="shared" ca="1" si="0"/>
        <v>1360000</v>
      </c>
      <c r="F47" s="124">
        <v>26</v>
      </c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</row>
    <row r="48" spans="3:36" ht="15.75" thickBot="1" x14ac:dyDescent="0.3">
      <c r="C48" s="57" t="s">
        <v>236</v>
      </c>
      <c r="D48" s="15" t="s">
        <v>26</v>
      </c>
      <c r="E48" s="20">
        <f t="shared" ca="1" si="0"/>
        <v>15400</v>
      </c>
      <c r="F48" s="124">
        <v>27</v>
      </c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</row>
    <row r="49" spans="3:36" ht="15.75" thickBot="1" x14ac:dyDescent="0.3">
      <c r="C49" s="57" t="s">
        <v>236</v>
      </c>
      <c r="D49" s="15" t="s">
        <v>200</v>
      </c>
      <c r="E49" s="20">
        <f t="shared" ca="1" si="0"/>
        <v>3200</v>
      </c>
      <c r="F49" s="124">
        <v>28</v>
      </c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</row>
    <row r="50" spans="3:36" ht="15.75" thickBot="1" x14ac:dyDescent="0.3">
      <c r="C50" s="57" t="s">
        <v>236</v>
      </c>
      <c r="D50" s="15" t="s">
        <v>27</v>
      </c>
      <c r="E50" s="20">
        <f t="shared" ca="1" si="0"/>
        <v>53300</v>
      </c>
      <c r="F50" s="124">
        <v>29</v>
      </c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</row>
    <row r="51" spans="3:36" ht="15.75" thickBot="1" x14ac:dyDescent="0.3">
      <c r="C51" s="57" t="s">
        <v>236</v>
      </c>
      <c r="D51" s="15" t="s">
        <v>28</v>
      </c>
      <c r="E51" s="20">
        <f t="shared" ca="1" si="0"/>
        <v>10300</v>
      </c>
      <c r="F51" s="124">
        <v>30</v>
      </c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</row>
    <row r="52" spans="3:36" ht="15.75" thickBot="1" x14ac:dyDescent="0.3">
      <c r="C52" s="57" t="s">
        <v>236</v>
      </c>
      <c r="D52" s="15" t="s">
        <v>29</v>
      </c>
      <c r="E52" s="20">
        <f t="shared" ca="1" si="0"/>
        <v>2200</v>
      </c>
      <c r="F52" s="124">
        <v>31</v>
      </c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</row>
    <row r="53" spans="3:36" ht="15.75" thickBot="1" x14ac:dyDescent="0.3">
      <c r="C53" s="57" t="s">
        <v>236</v>
      </c>
      <c r="D53" s="15" t="s">
        <v>30</v>
      </c>
      <c r="E53" s="20">
        <f t="shared" ca="1" si="0"/>
        <v>32400</v>
      </c>
      <c r="F53" s="124">
        <v>32</v>
      </c>
    </row>
    <row r="54" spans="3:36" ht="15.75" thickBot="1" x14ac:dyDescent="0.3">
      <c r="C54" s="57" t="s">
        <v>236</v>
      </c>
      <c r="D54" s="15" t="s">
        <v>31</v>
      </c>
      <c r="E54" s="20">
        <f t="shared" ca="1" si="0"/>
        <v>13900</v>
      </c>
      <c r="F54" s="124">
        <v>33</v>
      </c>
    </row>
    <row r="55" spans="3:36" ht="15.75" thickBot="1" x14ac:dyDescent="0.3">
      <c r="C55" s="57" t="s">
        <v>236</v>
      </c>
      <c r="D55" s="15" t="s">
        <v>32</v>
      </c>
      <c r="E55" s="20">
        <f t="shared" ca="1" si="0"/>
        <v>5720</v>
      </c>
      <c r="F55" s="124">
        <v>34</v>
      </c>
    </row>
    <row r="56" spans="3:36" ht="15.75" thickBot="1" x14ac:dyDescent="0.3">
      <c r="C56" s="57" t="s">
        <v>236</v>
      </c>
      <c r="D56" s="15" t="s">
        <v>33</v>
      </c>
      <c r="E56" s="20">
        <f t="shared" ca="1" si="0"/>
        <v>412</v>
      </c>
      <c r="F56" s="124">
        <v>35</v>
      </c>
    </row>
    <row r="57" spans="3:36" ht="15.75" thickBot="1" x14ac:dyDescent="0.3">
      <c r="C57" s="57" t="s">
        <v>236</v>
      </c>
      <c r="D57" s="15" t="s">
        <v>35</v>
      </c>
      <c r="E57" s="20">
        <f t="shared" ca="1" si="0"/>
        <v>4620</v>
      </c>
      <c r="F57" s="124">
        <v>36</v>
      </c>
    </row>
    <row r="58" spans="3:36" ht="15.75" thickBot="1" x14ac:dyDescent="0.3">
      <c r="C58" s="57" t="s">
        <v>236</v>
      </c>
      <c r="D58" s="15" t="s">
        <v>220</v>
      </c>
      <c r="E58" s="20">
        <f t="shared" ca="1" si="0"/>
        <v>77000</v>
      </c>
      <c r="F58" s="124">
        <v>37</v>
      </c>
    </row>
    <row r="59" spans="3:36" ht="15.75" thickBot="1" x14ac:dyDescent="0.3">
      <c r="C59" s="58" t="s">
        <v>236</v>
      </c>
      <c r="D59" s="47" t="s">
        <v>0</v>
      </c>
      <c r="E59" s="20">
        <f t="shared" ca="1" si="0"/>
        <v>66300</v>
      </c>
      <c r="F59" s="124">
        <v>38</v>
      </c>
    </row>
    <row r="60" spans="3:36" x14ac:dyDescent="0.25">
      <c r="F60" s="8"/>
    </row>
    <row r="61" spans="3:36" x14ac:dyDescent="0.25">
      <c r="F61" s="8"/>
    </row>
    <row r="62" spans="3:36" s="8" customFormat="1" ht="15.75" thickBot="1" x14ac:dyDescent="0.3"/>
    <row r="63" spans="3:36" ht="19.5" thickBot="1" x14ac:dyDescent="0.35">
      <c r="C63" s="188" t="s">
        <v>383</v>
      </c>
      <c r="D63" s="190"/>
      <c r="E63" s="189"/>
      <c r="F63" s="8"/>
    </row>
    <row r="64" spans="3:36" ht="15.75" thickBot="1" x14ac:dyDescent="0.3">
      <c r="C64" s="43" t="s">
        <v>240</v>
      </c>
      <c r="D64" s="43" t="s">
        <v>221</v>
      </c>
      <c r="E64" s="80" t="s">
        <v>213</v>
      </c>
      <c r="F64" s="8"/>
    </row>
    <row r="65" spans="3:6" ht="15.75" thickBot="1" x14ac:dyDescent="0.3">
      <c r="C65" s="9" t="s">
        <v>233</v>
      </c>
      <c r="D65" s="15" t="s">
        <v>11</v>
      </c>
      <c r="E65" s="20">
        <f ca="1">$E$34</f>
        <v>53200000</v>
      </c>
      <c r="F65" s="8"/>
    </row>
    <row r="66" spans="3:6" ht="15.75" thickBot="1" x14ac:dyDescent="0.3">
      <c r="C66" s="9" t="s">
        <v>234</v>
      </c>
      <c r="D66" s="15" t="s">
        <v>25</v>
      </c>
      <c r="E66" s="20">
        <f ca="1">$E$47</f>
        <v>1360000</v>
      </c>
      <c r="F66" s="8"/>
    </row>
    <row r="67" spans="3:6" ht="15.75" thickBot="1" x14ac:dyDescent="0.3">
      <c r="C67" s="9" t="s">
        <v>233</v>
      </c>
      <c r="D67" s="15" t="s">
        <v>19</v>
      </c>
      <c r="E67" s="20">
        <f ca="1">$E$35</f>
        <v>157000</v>
      </c>
      <c r="F67" s="8"/>
    </row>
    <row r="68" spans="3:6" ht="15.75" thickBot="1" x14ac:dyDescent="0.3">
      <c r="C68" s="9" t="s">
        <v>235</v>
      </c>
      <c r="D68" s="15" t="s">
        <v>16</v>
      </c>
      <c r="E68" s="20">
        <f ca="1">$E$38</f>
        <v>142000</v>
      </c>
      <c r="F68" s="8"/>
    </row>
    <row r="69" spans="3:6" ht="15.75" thickBot="1" x14ac:dyDescent="0.3">
      <c r="C69" s="9" t="s">
        <v>234</v>
      </c>
      <c r="D69" s="15" t="s">
        <v>22</v>
      </c>
      <c r="E69" s="20">
        <f ca="1">$E$44</f>
        <v>140000</v>
      </c>
      <c r="F69" s="8"/>
    </row>
    <row r="70" spans="3:6" ht="15.75" thickBot="1" x14ac:dyDescent="0.3">
      <c r="C70" s="9" t="s">
        <v>235</v>
      </c>
      <c r="D70" s="15" t="s">
        <v>13</v>
      </c>
      <c r="E70" s="20">
        <f ca="1">$E$36</f>
        <v>137000</v>
      </c>
      <c r="F70" s="8"/>
    </row>
    <row r="71" spans="3:6" ht="15.75" thickBot="1" x14ac:dyDescent="0.3">
      <c r="C71" s="9" t="s">
        <v>236</v>
      </c>
      <c r="D71" s="15" t="s">
        <v>220</v>
      </c>
      <c r="E71" s="20">
        <f ca="1">$E$58</f>
        <v>77000</v>
      </c>
      <c r="F71" s="8"/>
    </row>
    <row r="72" spans="3:6" ht="15.75" thickBot="1" x14ac:dyDescent="0.3">
      <c r="C72" s="9" t="s">
        <v>236</v>
      </c>
      <c r="D72" s="15" t="s">
        <v>0</v>
      </c>
      <c r="E72" s="20">
        <f ca="1">$E$59</f>
        <v>66300</v>
      </c>
      <c r="F72" s="8"/>
    </row>
    <row r="73" spans="3:6" ht="15.75" thickBot="1" x14ac:dyDescent="0.3">
      <c r="C73" s="9" t="s">
        <v>235</v>
      </c>
      <c r="D73" s="15" t="s">
        <v>15</v>
      </c>
      <c r="E73" s="20">
        <f ca="1">$E$37</f>
        <v>61300</v>
      </c>
      <c r="F73" s="8"/>
    </row>
    <row r="74" spans="3:6" ht="15.75" thickBot="1" x14ac:dyDescent="0.3">
      <c r="C74" s="9" t="s">
        <v>236</v>
      </c>
      <c r="D74" s="15" t="s">
        <v>27</v>
      </c>
      <c r="E74" s="20">
        <f ca="1">$E$50</f>
        <v>53300</v>
      </c>
      <c r="F74" s="8"/>
    </row>
    <row r="75" spans="3:6" ht="15.75" thickBot="1" x14ac:dyDescent="0.3">
      <c r="C75" s="9" t="s">
        <v>233</v>
      </c>
      <c r="D75" s="15" t="s">
        <v>10</v>
      </c>
      <c r="E75" s="20">
        <f ca="1">$E$32</f>
        <v>48200</v>
      </c>
      <c r="F75" s="8"/>
    </row>
    <row r="76" spans="3:6" ht="15.75" thickBot="1" x14ac:dyDescent="0.3">
      <c r="C76" s="9" t="s">
        <v>233</v>
      </c>
      <c r="D76" s="15" t="s">
        <v>219</v>
      </c>
      <c r="E76" s="20">
        <f ca="1">$E$23</f>
        <v>40400</v>
      </c>
      <c r="F76" s="8"/>
    </row>
    <row r="77" spans="3:6" ht="15.75" thickBot="1" x14ac:dyDescent="0.3">
      <c r="C77" s="9" t="s">
        <v>233</v>
      </c>
      <c r="D77" s="15" t="s">
        <v>4</v>
      </c>
      <c r="E77" s="20">
        <f ca="1">$E$27</f>
        <v>33100</v>
      </c>
      <c r="F77" s="8"/>
    </row>
    <row r="78" spans="3:6" ht="15.75" thickBot="1" x14ac:dyDescent="0.3">
      <c r="C78" s="9" t="s">
        <v>236</v>
      </c>
      <c r="D78" s="15" t="s">
        <v>30</v>
      </c>
      <c r="E78" s="20">
        <f ca="1">$E$53</f>
        <v>32400</v>
      </c>
      <c r="F78" s="8"/>
    </row>
    <row r="79" spans="3:6" ht="15.75" thickBot="1" x14ac:dyDescent="0.3">
      <c r="C79" s="9" t="s">
        <v>234</v>
      </c>
      <c r="D79" s="15" t="s">
        <v>23</v>
      </c>
      <c r="E79" s="20">
        <f ca="1">$E$45</f>
        <v>19200</v>
      </c>
      <c r="F79" s="8"/>
    </row>
    <row r="80" spans="3:6" ht="15.75" thickBot="1" x14ac:dyDescent="0.3">
      <c r="C80" s="9" t="s">
        <v>234</v>
      </c>
      <c r="D80" s="15" t="s">
        <v>20</v>
      </c>
      <c r="E80" s="20">
        <f ca="1">$E$42</f>
        <v>16300</v>
      </c>
      <c r="F80" s="8"/>
    </row>
    <row r="81" spans="3:6" ht="15.75" thickBot="1" x14ac:dyDescent="0.3">
      <c r="C81" s="9" t="s">
        <v>236</v>
      </c>
      <c r="D81" s="15" t="s">
        <v>26</v>
      </c>
      <c r="E81" s="20">
        <f ca="1">$E$48</f>
        <v>15400</v>
      </c>
      <c r="F81" s="8"/>
    </row>
    <row r="82" spans="3:6" ht="15.75" thickBot="1" x14ac:dyDescent="0.3">
      <c r="C82" s="9" t="s">
        <v>236</v>
      </c>
      <c r="D82" s="15" t="s">
        <v>31</v>
      </c>
      <c r="E82" s="20">
        <f ca="1">$E$54</f>
        <v>13900</v>
      </c>
      <c r="F82" s="8"/>
    </row>
    <row r="83" spans="3:6" ht="15.75" thickBot="1" x14ac:dyDescent="0.3">
      <c r="C83" s="9" t="s">
        <v>233</v>
      </c>
      <c r="D83" s="15" t="s">
        <v>5</v>
      </c>
      <c r="E83" s="20">
        <f ca="1">$E$28</f>
        <v>11600</v>
      </c>
      <c r="F83" s="8"/>
    </row>
    <row r="84" spans="3:6" ht="15.75" thickBot="1" x14ac:dyDescent="0.3">
      <c r="C84" s="9" t="s">
        <v>236</v>
      </c>
      <c r="D84" s="15" t="s">
        <v>28</v>
      </c>
      <c r="E84" s="20">
        <f ca="1">$E$51</f>
        <v>10300</v>
      </c>
      <c r="F84" s="8"/>
    </row>
    <row r="85" spans="3:6" ht="15.75" thickBot="1" x14ac:dyDescent="0.3">
      <c r="C85" s="9" t="s">
        <v>234</v>
      </c>
      <c r="D85" s="15" t="s">
        <v>24</v>
      </c>
      <c r="E85" s="20">
        <f ca="1">$E$46</f>
        <v>9720</v>
      </c>
      <c r="F85" s="8"/>
    </row>
    <row r="86" spans="3:6" ht="15.75" thickBot="1" x14ac:dyDescent="0.3">
      <c r="C86" s="9" t="s">
        <v>233</v>
      </c>
      <c r="D86" s="15" t="s">
        <v>7</v>
      </c>
      <c r="E86" s="20">
        <f ca="1">$E$29</f>
        <v>7380</v>
      </c>
      <c r="F86" s="8"/>
    </row>
    <row r="87" spans="3:6" ht="15.75" thickBot="1" x14ac:dyDescent="0.3">
      <c r="C87" s="9" t="s">
        <v>235</v>
      </c>
      <c r="D87" s="15" t="s">
        <v>18</v>
      </c>
      <c r="E87" s="20">
        <f ca="1">$E$41</f>
        <v>5840</v>
      </c>
      <c r="F87" s="8"/>
    </row>
    <row r="88" spans="3:6" ht="15.75" thickBot="1" x14ac:dyDescent="0.3">
      <c r="C88" s="9" t="s">
        <v>236</v>
      </c>
      <c r="D88" s="15" t="s">
        <v>32</v>
      </c>
      <c r="E88" s="20">
        <f ca="1">$E$55</f>
        <v>5720</v>
      </c>
      <c r="F88" s="8"/>
    </row>
    <row r="89" spans="3:6" ht="15.75" thickBot="1" x14ac:dyDescent="0.3">
      <c r="C89" s="9" t="s">
        <v>233</v>
      </c>
      <c r="D89" s="15" t="s">
        <v>2</v>
      </c>
      <c r="E89" s="20">
        <f ca="1">$E$25</f>
        <v>5530</v>
      </c>
      <c r="F89" s="8"/>
    </row>
    <row r="90" spans="3:6" ht="15.75" thickBot="1" x14ac:dyDescent="0.3">
      <c r="C90" s="9" t="s">
        <v>233</v>
      </c>
      <c r="D90" s="15" t="s">
        <v>12</v>
      </c>
      <c r="E90" s="20">
        <f ca="1">$E$33</f>
        <v>5330</v>
      </c>
      <c r="F90" s="8"/>
    </row>
    <row r="91" spans="3:6" ht="15.75" thickBot="1" x14ac:dyDescent="0.3">
      <c r="C91" s="9" t="s">
        <v>236</v>
      </c>
      <c r="D91" s="15" t="s">
        <v>35</v>
      </c>
      <c r="E91" s="20">
        <f ca="1">$E$57</f>
        <v>4620</v>
      </c>
      <c r="F91" s="8"/>
    </row>
    <row r="92" spans="3:6" ht="15.75" thickBot="1" x14ac:dyDescent="0.3">
      <c r="C92" s="9" t="s">
        <v>235</v>
      </c>
      <c r="D92" s="15" t="s">
        <v>187</v>
      </c>
      <c r="E92" s="20">
        <f ca="1">$E$40</f>
        <v>4580</v>
      </c>
      <c r="F92" s="8"/>
    </row>
    <row r="93" spans="3:6" ht="15.75" thickBot="1" x14ac:dyDescent="0.3">
      <c r="C93" s="9" t="s">
        <v>236</v>
      </c>
      <c r="D93" s="15" t="s">
        <v>200</v>
      </c>
      <c r="E93" s="20">
        <f ca="1">$E$49</f>
        <v>3200</v>
      </c>
      <c r="F93" s="8"/>
    </row>
    <row r="94" spans="3:6" ht="15.75" thickBot="1" x14ac:dyDescent="0.3">
      <c r="C94" s="9" t="s">
        <v>233</v>
      </c>
      <c r="D94" s="15" t="s">
        <v>3</v>
      </c>
      <c r="E94" s="20">
        <f ca="1">$E$26</f>
        <v>2860</v>
      </c>
      <c r="F94" s="8"/>
    </row>
    <row r="95" spans="3:6" ht="15.75" thickBot="1" x14ac:dyDescent="0.3">
      <c r="C95" s="9" t="s">
        <v>236</v>
      </c>
      <c r="D95" s="15" t="s">
        <v>29</v>
      </c>
      <c r="E95" s="20">
        <f ca="1">$E$52</f>
        <v>2200</v>
      </c>
      <c r="F95" s="8"/>
    </row>
    <row r="96" spans="3:6" ht="15.75" thickBot="1" x14ac:dyDescent="0.3">
      <c r="C96" s="9" t="s">
        <v>234</v>
      </c>
      <c r="D96" s="15" t="s">
        <v>21</v>
      </c>
      <c r="E96" s="20">
        <f ca="1">$E$43</f>
        <v>1170</v>
      </c>
      <c r="F96" s="8"/>
    </row>
    <row r="97" spans="3:7" ht="15.75" thickBot="1" x14ac:dyDescent="0.3">
      <c r="C97" s="9" t="s">
        <v>235</v>
      </c>
      <c r="D97" s="15" t="s">
        <v>17</v>
      </c>
      <c r="E97" s="20">
        <f ca="1">$E$39</f>
        <v>852</v>
      </c>
      <c r="F97" s="8"/>
    </row>
    <row r="98" spans="3:7" ht="15.75" thickBot="1" x14ac:dyDescent="0.3">
      <c r="C98" s="9" t="s">
        <v>233</v>
      </c>
      <c r="D98" s="38" t="s">
        <v>9</v>
      </c>
      <c r="E98" s="20">
        <f ca="1">$E$31</f>
        <v>693</v>
      </c>
      <c r="F98" s="8"/>
    </row>
    <row r="99" spans="3:7" ht="15.75" thickBot="1" x14ac:dyDescent="0.3">
      <c r="C99" s="9" t="s">
        <v>233</v>
      </c>
      <c r="D99" s="15" t="s">
        <v>8</v>
      </c>
      <c r="E99" s="20">
        <f ca="1">$E$30</f>
        <v>492</v>
      </c>
      <c r="F99" s="8"/>
    </row>
    <row r="100" spans="3:7" ht="15.75" thickBot="1" x14ac:dyDescent="0.3">
      <c r="C100" s="9" t="s">
        <v>236</v>
      </c>
      <c r="D100" s="15" t="s">
        <v>33</v>
      </c>
      <c r="E100" s="20">
        <f ca="1">$E$56</f>
        <v>412</v>
      </c>
      <c r="F100" s="8"/>
    </row>
    <row r="101" spans="3:7" ht="15.75" thickBot="1" x14ac:dyDescent="0.3">
      <c r="C101" s="17" t="s">
        <v>233</v>
      </c>
      <c r="D101" s="47" t="s">
        <v>1</v>
      </c>
      <c r="E101" s="19">
        <f ca="1">$E$24</f>
        <v>368</v>
      </c>
      <c r="F101" s="8"/>
    </row>
    <row r="102" spans="3:7" x14ac:dyDescent="0.25">
      <c r="F102" s="8"/>
    </row>
    <row r="103" spans="3:7" s="8" customFormat="1" ht="15.75" thickBot="1" x14ac:dyDescent="0.3"/>
    <row r="104" spans="3:7" s="8" customFormat="1" ht="19.5" thickBot="1" x14ac:dyDescent="0.35">
      <c r="D104" s="188" t="s">
        <v>384</v>
      </c>
      <c r="E104" s="190"/>
      <c r="F104" s="190"/>
      <c r="G104" s="189"/>
    </row>
    <row r="105" spans="3:7" ht="30" x14ac:dyDescent="0.25">
      <c r="C105" s="43" t="s">
        <v>240</v>
      </c>
      <c r="D105" s="71" t="s">
        <v>221</v>
      </c>
      <c r="E105" s="107" t="s">
        <v>359</v>
      </c>
      <c r="F105" s="108" t="s">
        <v>348</v>
      </c>
      <c r="G105" s="108" t="s">
        <v>356</v>
      </c>
    </row>
    <row r="106" spans="3:7" ht="15.75" thickBot="1" x14ac:dyDescent="0.3">
      <c r="D106" s="35" t="str">
        <f>D65</f>
        <v>Corruption</v>
      </c>
      <c r="E106" s="81"/>
      <c r="F106" s="14"/>
      <c r="G106" s="22"/>
    </row>
    <row r="107" spans="3:7" ht="15.75" thickBot="1" x14ac:dyDescent="0.3">
      <c r="D107" s="35" t="str">
        <f t="shared" ref="D107:E140" si="1">D66</f>
        <v>New market players</v>
      </c>
      <c r="E107" s="81"/>
      <c r="F107" s="14"/>
      <c r="G107" s="22"/>
    </row>
    <row r="108" spans="3:7" ht="15.75" thickBot="1" x14ac:dyDescent="0.3">
      <c r="D108" s="35" t="str">
        <f t="shared" si="1"/>
        <v>Terrorism</v>
      </c>
      <c r="E108" s="81"/>
      <c r="F108" s="14"/>
      <c r="G108" s="22"/>
    </row>
    <row r="109" spans="3:7" ht="15.75" thickBot="1" x14ac:dyDescent="0.3">
      <c r="D109" s="35" t="str">
        <f t="shared" si="1"/>
        <v>Russia energy diplomacy</v>
      </c>
      <c r="E109" s="81"/>
      <c r="F109" s="14"/>
      <c r="G109" s="22"/>
    </row>
    <row r="110" spans="3:7" ht="15.75" thickBot="1" x14ac:dyDescent="0.3">
      <c r="D110" s="35" t="str">
        <f t="shared" si="1"/>
        <v>Business cycle</v>
      </c>
      <c r="E110" s="81"/>
      <c r="F110" s="14"/>
      <c r="G110" s="22"/>
    </row>
    <row r="111" spans="3:7" ht="15.75" thickBot="1" x14ac:dyDescent="0.3">
      <c r="C111" s="8" t="str">
        <f>C70</f>
        <v>Geopolitics &amp; regional</v>
      </c>
      <c r="D111" s="35" t="str">
        <f t="shared" si="1"/>
        <v>India growth</v>
      </c>
      <c r="E111" s="81">
        <f t="shared" ca="1" si="1"/>
        <v>137000</v>
      </c>
      <c r="F111" s="67">
        <f t="shared" ref="F111:F135" ca="1" si="2">E111/$E$144</f>
        <v>1</v>
      </c>
      <c r="G111" s="83">
        <f ca="1">((F111*7)/100%)+5</f>
        <v>12</v>
      </c>
    </row>
    <row r="112" spans="3:7" ht="15.75" thickBot="1" x14ac:dyDescent="0.3">
      <c r="C112" s="8" t="str">
        <f t="shared" ref="C112:C137" si="3">C71</f>
        <v>Vision &amp; technology</v>
      </c>
      <c r="D112" s="35" t="str">
        <f t="shared" si="1"/>
        <v>Energy Efficiency</v>
      </c>
      <c r="E112" s="81">
        <f t="shared" ref="E112:E137" ca="1" si="4">E71</f>
        <v>77000</v>
      </c>
      <c r="F112" s="67">
        <f t="shared" ca="1" si="2"/>
        <v>0.56204379562043794</v>
      </c>
      <c r="G112" s="83">
        <f t="shared" ref="G112:G137" ca="1" si="5">((F112*7)/100%)+5</f>
        <v>8.9343065693430646</v>
      </c>
    </row>
    <row r="113" spans="3:7" ht="15.75" thickBot="1" x14ac:dyDescent="0.3">
      <c r="C113" s="8" t="str">
        <f t="shared" si="3"/>
        <v>Vision &amp; technology</v>
      </c>
      <c r="D113" s="35" t="str">
        <f t="shared" si="1"/>
        <v>Nuclear energy</v>
      </c>
      <c r="E113" s="81">
        <f t="shared" ca="1" si="4"/>
        <v>66300</v>
      </c>
      <c r="F113" s="67">
        <f t="shared" ca="1" si="2"/>
        <v>0.48394160583941603</v>
      </c>
      <c r="G113" s="83">
        <f t="shared" ca="1" si="5"/>
        <v>8.3875912408759117</v>
      </c>
    </row>
    <row r="114" spans="3:7" ht="15.75" thickBot="1" x14ac:dyDescent="0.3">
      <c r="C114" s="8" t="str">
        <f t="shared" si="3"/>
        <v>Geopolitics &amp; regional</v>
      </c>
      <c r="D114" s="35" t="str">
        <f t="shared" si="1"/>
        <v>Brazil growth</v>
      </c>
      <c r="E114" s="81">
        <f t="shared" ca="1" si="4"/>
        <v>61300</v>
      </c>
      <c r="F114" s="67">
        <f t="shared" ca="1" si="2"/>
        <v>0.44744525547445257</v>
      </c>
      <c r="G114" s="83">
        <f t="shared" ca="1" si="5"/>
        <v>8.1321167883211682</v>
      </c>
    </row>
    <row r="115" spans="3:7" ht="15.75" thickBot="1" x14ac:dyDescent="0.3">
      <c r="C115" s="8" t="str">
        <f t="shared" si="3"/>
        <v>Vision &amp; technology</v>
      </c>
      <c r="D115" s="35" t="str">
        <f t="shared" si="1"/>
        <v>Renewable energy</v>
      </c>
      <c r="E115" s="81">
        <f t="shared" ca="1" si="4"/>
        <v>53300</v>
      </c>
      <c r="F115" s="67">
        <f t="shared" ca="1" si="2"/>
        <v>0.38905109489051093</v>
      </c>
      <c r="G115" s="83">
        <f t="shared" ca="1" si="5"/>
        <v>7.7233576642335766</v>
      </c>
    </row>
    <row r="116" spans="3:7" ht="15.75" thickBot="1" x14ac:dyDescent="0.3">
      <c r="C116" s="8" t="str">
        <f t="shared" si="3"/>
        <v>Macroeconomic</v>
      </c>
      <c r="D116" s="35" t="str">
        <f t="shared" si="1"/>
        <v>Energy poverty</v>
      </c>
      <c r="E116" s="81">
        <f t="shared" ca="1" si="4"/>
        <v>48200</v>
      </c>
      <c r="F116" s="67">
        <f t="shared" ca="1" si="2"/>
        <v>0.35182481751824818</v>
      </c>
      <c r="G116" s="83">
        <f t="shared" ca="1" si="5"/>
        <v>7.4627737226277375</v>
      </c>
    </row>
    <row r="117" spans="3:7" ht="15.75" thickBot="1" x14ac:dyDescent="0.3">
      <c r="C117" s="8" t="str">
        <f t="shared" si="3"/>
        <v>Macroeconomic</v>
      </c>
      <c r="D117" s="35" t="str">
        <f t="shared" si="1"/>
        <v>Global Recesion</v>
      </c>
      <c r="E117" s="81">
        <f t="shared" ca="1" si="4"/>
        <v>40400</v>
      </c>
      <c r="F117" s="67">
        <f t="shared" ca="1" si="2"/>
        <v>0.29489051094890512</v>
      </c>
      <c r="G117" s="83">
        <f t="shared" ca="1" si="5"/>
        <v>7.0642335766423354</v>
      </c>
    </row>
    <row r="118" spans="3:7" ht="15.75" thickBot="1" x14ac:dyDescent="0.3">
      <c r="C118" s="8" t="str">
        <f t="shared" si="3"/>
        <v>Macroeconomic</v>
      </c>
      <c r="D118" s="35" t="str">
        <f t="shared" si="1"/>
        <v>Commodity prices &amp; volatility</v>
      </c>
      <c r="E118" s="81">
        <f t="shared" ca="1" si="4"/>
        <v>33100</v>
      </c>
      <c r="F118" s="67">
        <f t="shared" ca="1" si="2"/>
        <v>0.2416058394160584</v>
      </c>
      <c r="G118" s="83">
        <f t="shared" ca="1" si="5"/>
        <v>6.6912408759124089</v>
      </c>
    </row>
    <row r="119" spans="3:7" ht="15.75" thickBot="1" x14ac:dyDescent="0.3">
      <c r="C119" s="8" t="str">
        <f t="shared" si="3"/>
        <v>Vision &amp; technology</v>
      </c>
      <c r="D119" s="35" t="str">
        <f t="shared" si="1"/>
        <v>Future mobility</v>
      </c>
      <c r="E119" s="81">
        <f t="shared" ca="1" si="4"/>
        <v>32400</v>
      </c>
      <c r="F119" s="67">
        <f t="shared" ca="1" si="2"/>
        <v>0.2364963503649635</v>
      </c>
      <c r="G119" s="83">
        <f t="shared" ca="1" si="5"/>
        <v>6.6554744525547447</v>
      </c>
    </row>
    <row r="120" spans="3:7" ht="15.75" thickBot="1" x14ac:dyDescent="0.3">
      <c r="C120" s="8" t="str">
        <f t="shared" si="3"/>
        <v>Business environment</v>
      </c>
      <c r="D120" s="35" t="str">
        <f t="shared" si="1"/>
        <v>Innovative market design &amp; policies</v>
      </c>
      <c r="E120" s="81">
        <f t="shared" ca="1" si="4"/>
        <v>19200</v>
      </c>
      <c r="F120" s="67">
        <f t="shared" ca="1" si="2"/>
        <v>0.14014598540145987</v>
      </c>
      <c r="G120" s="83">
        <f t="shared" ca="1" si="5"/>
        <v>5.9810218978102192</v>
      </c>
    </row>
    <row r="121" spans="3:7" ht="15.75" thickBot="1" x14ac:dyDescent="0.3">
      <c r="C121" s="8" t="str">
        <f t="shared" si="3"/>
        <v>Business environment</v>
      </c>
      <c r="D121" s="35" t="str">
        <f t="shared" si="1"/>
        <v>Trade barriers</v>
      </c>
      <c r="E121" s="81">
        <f t="shared" ca="1" si="4"/>
        <v>16300</v>
      </c>
      <c r="F121" s="67">
        <f t="shared" ca="1" si="2"/>
        <v>0.11897810218978103</v>
      </c>
      <c r="G121" s="83">
        <f t="shared" ca="1" si="5"/>
        <v>5.8328467153284675</v>
      </c>
    </row>
    <row r="122" spans="3:7" ht="15.75" thickBot="1" x14ac:dyDescent="0.3">
      <c r="C122" s="8" t="str">
        <f t="shared" si="3"/>
        <v>Vision &amp; technology</v>
      </c>
      <c r="D122" s="35" t="str">
        <f t="shared" si="1"/>
        <v>Sustainable cities</v>
      </c>
      <c r="E122" s="81">
        <f t="shared" ca="1" si="4"/>
        <v>15400</v>
      </c>
      <c r="F122" s="67">
        <f t="shared" ca="1" si="2"/>
        <v>0.11240875912408758</v>
      </c>
      <c r="G122" s="83">
        <f t="shared" ca="1" si="5"/>
        <v>5.7868613138686129</v>
      </c>
    </row>
    <row r="123" spans="3:7" ht="15.75" thickBot="1" x14ac:dyDescent="0.3">
      <c r="C123" s="8" t="str">
        <f t="shared" si="3"/>
        <v>Vision &amp; technology</v>
      </c>
      <c r="D123" s="35" t="str">
        <f t="shared" si="1"/>
        <v>Electricity storage</v>
      </c>
      <c r="E123" s="81">
        <f t="shared" ca="1" si="4"/>
        <v>13900</v>
      </c>
      <c r="F123" s="67">
        <f t="shared" ca="1" si="2"/>
        <v>0.10145985401459855</v>
      </c>
      <c r="G123" s="83">
        <f t="shared" ca="1" si="5"/>
        <v>5.7102189781021897</v>
      </c>
    </row>
    <row r="124" spans="3:7" ht="15.75" thickBot="1" x14ac:dyDescent="0.3">
      <c r="C124" s="8" t="str">
        <f t="shared" si="3"/>
        <v>Macroeconomic</v>
      </c>
      <c r="D124" s="35" t="str">
        <f t="shared" si="1"/>
        <v>Energy prices &amp; volatility</v>
      </c>
      <c r="E124" s="81">
        <f t="shared" ca="1" si="4"/>
        <v>11600</v>
      </c>
      <c r="F124" s="67">
        <f t="shared" ca="1" si="2"/>
        <v>8.4671532846715331E-2</v>
      </c>
      <c r="G124" s="83">
        <f t="shared" ca="1" si="5"/>
        <v>5.5927007299270075</v>
      </c>
    </row>
    <row r="125" spans="3:7" ht="15.75" thickBot="1" x14ac:dyDescent="0.3">
      <c r="C125" s="8" t="str">
        <f t="shared" si="3"/>
        <v>Vision &amp; technology</v>
      </c>
      <c r="D125" s="35" t="str">
        <f t="shared" si="1"/>
        <v>Biofuels</v>
      </c>
      <c r="E125" s="81">
        <f t="shared" ca="1" si="4"/>
        <v>10300</v>
      </c>
      <c r="F125" s="67">
        <f t="shared" ca="1" si="2"/>
        <v>7.518248175182482E-2</v>
      </c>
      <c r="G125" s="83">
        <f t="shared" ca="1" si="5"/>
        <v>5.5262773722627738</v>
      </c>
    </row>
    <row r="126" spans="3:7" ht="15.75" thickBot="1" x14ac:dyDescent="0.3">
      <c r="C126" s="8" t="str">
        <f t="shared" si="3"/>
        <v>Business environment</v>
      </c>
      <c r="D126" s="35" t="str">
        <f t="shared" si="1"/>
        <v>Energy subsidies</v>
      </c>
      <c r="E126" s="81">
        <f t="shared" ca="1" si="4"/>
        <v>9720</v>
      </c>
      <c r="F126" s="67">
        <f t="shared" ca="1" si="2"/>
        <v>7.0948905109489049E-2</v>
      </c>
      <c r="G126" s="83">
        <f t="shared" ca="1" si="5"/>
        <v>5.4966423357664231</v>
      </c>
    </row>
    <row r="127" spans="3:7" ht="15.75" thickBot="1" x14ac:dyDescent="0.3">
      <c r="C127" s="8" t="str">
        <f t="shared" si="3"/>
        <v>Macroeconomic</v>
      </c>
      <c r="D127" s="35" t="str">
        <f t="shared" si="1"/>
        <v>Currency uncertainty</v>
      </c>
      <c r="E127" s="81">
        <f t="shared" ca="1" si="4"/>
        <v>7380</v>
      </c>
      <c r="F127" s="67">
        <f t="shared" ca="1" si="2"/>
        <v>5.3868613138686135E-2</v>
      </c>
      <c r="G127" s="83">
        <f t="shared" ca="1" si="5"/>
        <v>5.3770802919708025</v>
      </c>
    </row>
    <row r="128" spans="3:7" ht="15.75" thickBot="1" x14ac:dyDescent="0.3">
      <c r="C128" s="8" t="str">
        <f t="shared" si="3"/>
        <v>Geopolitics &amp; regional</v>
      </c>
      <c r="D128" s="35" t="str">
        <f t="shared" si="1"/>
        <v>US trade and policy influencing global energy markets</v>
      </c>
      <c r="E128" s="81">
        <f t="shared" ca="1" si="4"/>
        <v>5840</v>
      </c>
      <c r="F128" s="67">
        <f t="shared" ca="1" si="2"/>
        <v>4.2627737226277371E-2</v>
      </c>
      <c r="G128" s="83">
        <f t="shared" ca="1" si="5"/>
        <v>5.2983941605839417</v>
      </c>
    </row>
    <row r="129" spans="3:7" ht="15.75" thickBot="1" x14ac:dyDescent="0.3">
      <c r="C129" s="8" t="str">
        <f t="shared" si="3"/>
        <v>Vision &amp; technology</v>
      </c>
      <c r="D129" s="35" t="str">
        <f t="shared" si="1"/>
        <v>Hydro power</v>
      </c>
      <c r="E129" s="81">
        <f t="shared" ca="1" si="4"/>
        <v>5720</v>
      </c>
      <c r="F129" s="67">
        <f t="shared" ca="1" si="2"/>
        <v>4.1751824817518247E-2</v>
      </c>
      <c r="G129" s="83">
        <f t="shared" ca="1" si="5"/>
        <v>5.2922627737226273</v>
      </c>
    </row>
    <row r="130" spans="3:7" ht="15.75" thickBot="1" x14ac:dyDescent="0.3">
      <c r="C130" s="8" t="str">
        <f t="shared" si="3"/>
        <v>Macroeconomic</v>
      </c>
      <c r="D130" s="35" t="str">
        <f t="shared" si="1"/>
        <v>Large scale accidents</v>
      </c>
      <c r="E130" s="81">
        <f t="shared" ca="1" si="4"/>
        <v>5530</v>
      </c>
      <c r="F130" s="67">
        <f t="shared" ca="1" si="2"/>
        <v>4.0364963503649633E-2</v>
      </c>
      <c r="G130" s="83">
        <f t="shared" ca="1" si="5"/>
        <v>5.2825547445255472</v>
      </c>
    </row>
    <row r="131" spans="3:7" ht="15.75" thickBot="1" x14ac:dyDescent="0.3">
      <c r="C131" s="8" t="str">
        <f t="shared" si="3"/>
        <v>Macroeconomic</v>
      </c>
      <c r="D131" s="35" t="str">
        <f t="shared" si="1"/>
        <v xml:space="preserve">Energy affordability </v>
      </c>
      <c r="E131" s="81">
        <f t="shared" ca="1" si="4"/>
        <v>5330</v>
      </c>
      <c r="F131" s="67">
        <f t="shared" ca="1" si="2"/>
        <v>3.8905109489051092E-2</v>
      </c>
      <c r="G131" s="83">
        <f t="shared" ca="1" si="5"/>
        <v>5.2723357664233577</v>
      </c>
    </row>
    <row r="132" spans="3:7" ht="15.75" thickBot="1" x14ac:dyDescent="0.3">
      <c r="C132" s="8" t="str">
        <f t="shared" si="3"/>
        <v>Vision &amp; technology</v>
      </c>
      <c r="D132" s="35" t="str">
        <f t="shared" si="1"/>
        <v>Hydrogen economy</v>
      </c>
      <c r="E132" s="81">
        <f t="shared" ca="1" si="4"/>
        <v>4620</v>
      </c>
      <c r="F132" s="67">
        <f t="shared" ca="1" si="2"/>
        <v>3.3722627737226278E-2</v>
      </c>
      <c r="G132" s="83">
        <f t="shared" ca="1" si="5"/>
        <v>5.2360583941605841</v>
      </c>
    </row>
    <row r="133" spans="3:7" ht="15.75" thickBot="1" x14ac:dyDescent="0.3">
      <c r="C133" s="8" t="str">
        <f t="shared" si="3"/>
        <v>Geopolitics &amp; regional</v>
      </c>
      <c r="D133" s="35" t="str">
        <f t="shared" si="1"/>
        <v>Middle East / North Africa fragility</v>
      </c>
      <c r="E133" s="81">
        <f t="shared" ca="1" si="4"/>
        <v>4580</v>
      </c>
      <c r="F133" s="67">
        <f t="shared" ca="1" si="2"/>
        <v>3.3430656934306573E-2</v>
      </c>
      <c r="G133" s="83">
        <f t="shared" ca="1" si="5"/>
        <v>5.2340145985401456</v>
      </c>
    </row>
    <row r="134" spans="3:7" ht="15.75" thickBot="1" x14ac:dyDescent="0.3">
      <c r="C134" s="8" t="str">
        <f t="shared" si="3"/>
        <v>Vision &amp; technology</v>
      </c>
      <c r="D134" s="35" t="str">
        <f t="shared" si="1"/>
        <v>Carbon capture, utilisation &amp; storage (CCUS)</v>
      </c>
      <c r="E134" s="81">
        <f t="shared" ca="1" si="4"/>
        <v>3200</v>
      </c>
      <c r="F134" s="67">
        <f t="shared" ca="1" si="2"/>
        <v>2.3357664233576641E-2</v>
      </c>
      <c r="G134" s="83">
        <f t="shared" ca="1" si="5"/>
        <v>5.1635036496350368</v>
      </c>
    </row>
    <row r="135" spans="3:7" ht="15.75" thickBot="1" x14ac:dyDescent="0.3">
      <c r="C135" s="8" t="str">
        <f t="shared" si="3"/>
        <v>Macroeconomic</v>
      </c>
      <c r="D135" s="35" t="str">
        <f t="shared" si="1"/>
        <v>Capital market constraints</v>
      </c>
      <c r="E135" s="81">
        <f t="shared" ca="1" si="4"/>
        <v>2860</v>
      </c>
      <c r="F135" s="67">
        <f t="shared" ca="1" si="2"/>
        <v>2.0875912408759124E-2</v>
      </c>
      <c r="G135" s="83">
        <f t="shared" ca="1" si="5"/>
        <v>5.1461313868613141</v>
      </c>
    </row>
    <row r="136" spans="3:7" ht="15.75" thickBot="1" x14ac:dyDescent="0.3">
      <c r="C136" s="8" t="str">
        <f t="shared" si="3"/>
        <v>Vision &amp; technology</v>
      </c>
      <c r="D136" s="35" t="str">
        <f t="shared" si="1"/>
        <v>Smart grids</v>
      </c>
      <c r="E136" s="81">
        <f t="shared" ca="1" si="4"/>
        <v>2200</v>
      </c>
      <c r="F136" s="67">
        <f ca="1">E136/$E$144</f>
        <v>1.6058394160583942E-2</v>
      </c>
      <c r="G136" s="83">
        <f t="shared" ca="1" si="5"/>
        <v>5.1124087591240874</v>
      </c>
    </row>
    <row r="137" spans="3:7" ht="15.75" thickBot="1" x14ac:dyDescent="0.3">
      <c r="C137" s="8" t="str">
        <f t="shared" si="3"/>
        <v>Business environment</v>
      </c>
      <c r="D137" s="35" t="str">
        <f t="shared" si="1"/>
        <v>Regional interconnection</v>
      </c>
      <c r="E137" s="81">
        <f t="shared" ca="1" si="4"/>
        <v>1170</v>
      </c>
      <c r="F137" s="67">
        <f ca="1">E137/$E$144</f>
        <v>8.5401459854014591E-3</v>
      </c>
      <c r="G137" s="83">
        <f t="shared" ca="1" si="5"/>
        <v>5.0597810218978099</v>
      </c>
    </row>
    <row r="138" spans="3:7" ht="15.75" thickBot="1" x14ac:dyDescent="0.3">
      <c r="D138" s="35" t="str">
        <f t="shared" si="1"/>
        <v>EU cohesion</v>
      </c>
      <c r="E138" s="81"/>
      <c r="F138" s="67"/>
      <c r="G138" s="22"/>
    </row>
    <row r="139" spans="3:7" ht="15.75" thickBot="1" x14ac:dyDescent="0.3">
      <c r="D139" s="35" t="str">
        <f t="shared" si="1"/>
        <v>Talent scarcity</v>
      </c>
      <c r="E139" s="81"/>
      <c r="F139" s="67"/>
      <c r="G139" s="22"/>
    </row>
    <row r="140" spans="3:7" ht="15.75" thickBot="1" x14ac:dyDescent="0.3">
      <c r="D140" s="35" t="str">
        <f t="shared" si="1"/>
        <v>Energy water food nexus</v>
      </c>
      <c r="E140" s="81"/>
      <c r="F140" s="67"/>
      <c r="G140" s="22"/>
    </row>
    <row r="141" spans="3:7" s="8" customFormat="1" ht="15.75" thickBot="1" x14ac:dyDescent="0.3">
      <c r="D141" s="35" t="str">
        <f>D100</f>
        <v>Unconventional fossil fuels</v>
      </c>
      <c r="E141" s="81"/>
      <c r="F141" s="67"/>
      <c r="G141" s="22"/>
    </row>
    <row r="142" spans="3:7" s="8" customFormat="1" ht="15.75" thickBot="1" x14ac:dyDescent="0.3">
      <c r="D142" s="35" t="str">
        <f>D101</f>
        <v>Global climate framework uncertainty</v>
      </c>
      <c r="E142" s="81"/>
      <c r="F142" s="70"/>
      <c r="G142" s="18"/>
    </row>
    <row r="143" spans="3:7" ht="15.75" thickBot="1" x14ac:dyDescent="0.3">
      <c r="F143" s="24"/>
    </row>
    <row r="144" spans="3:7" ht="15.75" thickBot="1" x14ac:dyDescent="0.3">
      <c r="D144" s="82" t="s">
        <v>223</v>
      </c>
      <c r="E144" s="95">
        <f ca="1">MAX(E111:E137)</f>
        <v>137000</v>
      </c>
      <c r="F144" s="24"/>
    </row>
    <row r="145" spans="3:7" x14ac:dyDescent="0.25">
      <c r="F145" s="24"/>
    </row>
    <row r="146" spans="3:7" x14ac:dyDescent="0.25">
      <c r="F146" s="24"/>
    </row>
    <row r="147" spans="3:7" ht="15.75" thickBot="1" x14ac:dyDescent="0.3">
      <c r="F147" s="24"/>
    </row>
    <row r="148" spans="3:7" ht="19.5" thickBot="1" x14ac:dyDescent="0.35">
      <c r="D148" s="188" t="s">
        <v>385</v>
      </c>
      <c r="E148" s="190"/>
      <c r="F148" s="190"/>
      <c r="G148" s="189"/>
    </row>
    <row r="149" spans="3:7" ht="30" x14ac:dyDescent="0.25">
      <c r="C149" s="71" t="s">
        <v>240</v>
      </c>
      <c r="D149" s="71" t="s">
        <v>221</v>
      </c>
      <c r="E149" s="107" t="s">
        <v>389</v>
      </c>
      <c r="F149" s="108" t="s">
        <v>386</v>
      </c>
      <c r="G149" s="108" t="s">
        <v>356</v>
      </c>
    </row>
    <row r="150" spans="3:7" ht="15.75" thickBot="1" x14ac:dyDescent="0.3">
      <c r="C150" s="8" t="str">
        <f t="shared" ref="C150:E154" si="6">C65</f>
        <v>Macroeconomic</v>
      </c>
      <c r="D150" s="35" t="str">
        <f t="shared" si="6"/>
        <v>Corruption</v>
      </c>
      <c r="E150" s="81">
        <f t="shared" ca="1" si="6"/>
        <v>53200000</v>
      </c>
      <c r="F150" s="67">
        <f ca="1">E150/$E$156</f>
        <v>1</v>
      </c>
      <c r="G150" s="83">
        <f ca="1">((F150*5)/100%)+12</f>
        <v>17</v>
      </c>
    </row>
    <row r="151" spans="3:7" ht="15.75" thickBot="1" x14ac:dyDescent="0.3">
      <c r="C151" s="8" t="str">
        <f t="shared" si="6"/>
        <v>Business environment</v>
      </c>
      <c r="D151" s="35" t="str">
        <f t="shared" si="6"/>
        <v>New market players</v>
      </c>
      <c r="E151" s="81">
        <f t="shared" ca="1" si="6"/>
        <v>1360000</v>
      </c>
      <c r="F151" s="67">
        <f ca="1">E151/$E$156</f>
        <v>2.5563909774436091E-2</v>
      </c>
      <c r="G151" s="83">
        <f ca="1">((F151*5)/100%)+12</f>
        <v>12.12781954887218</v>
      </c>
    </row>
    <row r="152" spans="3:7" ht="15.75" thickBot="1" x14ac:dyDescent="0.3">
      <c r="C152" s="8" t="str">
        <f t="shared" si="6"/>
        <v>Macroeconomic</v>
      </c>
      <c r="D152" s="35" t="str">
        <f t="shared" si="6"/>
        <v>Terrorism</v>
      </c>
      <c r="E152" s="81">
        <f t="shared" ca="1" si="6"/>
        <v>157000</v>
      </c>
      <c r="F152" s="67">
        <f ca="1">E152/$E$156</f>
        <v>2.9511278195488723E-3</v>
      </c>
      <c r="G152" s="83">
        <f ca="1">((F152*5)/100%)+12</f>
        <v>12.014755639097745</v>
      </c>
    </row>
    <row r="153" spans="3:7" ht="15.75" thickBot="1" x14ac:dyDescent="0.3">
      <c r="C153" s="8" t="str">
        <f t="shared" si="6"/>
        <v>Geopolitics &amp; regional</v>
      </c>
      <c r="D153" s="35" t="str">
        <f t="shared" si="6"/>
        <v>Russia energy diplomacy</v>
      </c>
      <c r="E153" s="81">
        <f t="shared" ca="1" si="6"/>
        <v>142000</v>
      </c>
      <c r="F153" s="67">
        <f ca="1">E153/$E$156</f>
        <v>2.6691729323308272E-3</v>
      </c>
      <c r="G153" s="83">
        <f ca="1">((F153*5)/100%)+12</f>
        <v>12.013345864661654</v>
      </c>
    </row>
    <row r="154" spans="3:7" ht="15.75" thickBot="1" x14ac:dyDescent="0.3">
      <c r="C154" s="8" t="str">
        <f t="shared" si="6"/>
        <v>Business environment</v>
      </c>
      <c r="D154" s="35" t="str">
        <f t="shared" si="6"/>
        <v>Business cycle</v>
      </c>
      <c r="E154" s="81">
        <f t="shared" ca="1" si="6"/>
        <v>140000</v>
      </c>
      <c r="F154" s="70">
        <f ca="1">E154/$E$156</f>
        <v>2.631578947368421E-3</v>
      </c>
      <c r="G154" s="84">
        <f ca="1">((F154*5)/100%)+12</f>
        <v>12.013157894736842</v>
      </c>
    </row>
    <row r="155" spans="3:7" ht="15.75" thickBot="1" x14ac:dyDescent="0.3">
      <c r="F155" s="24"/>
    </row>
    <row r="156" spans="3:7" ht="15.75" thickBot="1" x14ac:dyDescent="0.3">
      <c r="D156" s="82" t="s">
        <v>223</v>
      </c>
      <c r="E156" s="41">
        <f ca="1">MAX(E150:E154)</f>
        <v>53200000</v>
      </c>
      <c r="F156" s="24"/>
    </row>
    <row r="157" spans="3:7" x14ac:dyDescent="0.25">
      <c r="F157" s="24"/>
    </row>
    <row r="158" spans="3:7" ht="15.75" thickBot="1" x14ac:dyDescent="0.3">
      <c r="F158" s="24"/>
    </row>
    <row r="159" spans="3:7" ht="19.5" thickBot="1" x14ac:dyDescent="0.35">
      <c r="D159" s="188" t="s">
        <v>387</v>
      </c>
      <c r="E159" s="190"/>
      <c r="F159" s="190"/>
      <c r="G159" s="189"/>
    </row>
    <row r="160" spans="3:7" ht="30.75" thickBot="1" x14ac:dyDescent="0.3">
      <c r="C160" s="71" t="s">
        <v>240</v>
      </c>
      <c r="D160" s="71" t="s">
        <v>221</v>
      </c>
      <c r="E160" s="107" t="s">
        <v>389</v>
      </c>
      <c r="F160" s="108" t="s">
        <v>388</v>
      </c>
      <c r="G160" s="108" t="s">
        <v>356</v>
      </c>
    </row>
    <row r="161" spans="3:7" ht="15.75" thickBot="1" x14ac:dyDescent="0.3">
      <c r="C161" s="8" t="str">
        <f>C97</f>
        <v>Geopolitics &amp; regional</v>
      </c>
      <c r="D161" s="35" t="str">
        <f>D97</f>
        <v>EU cohesion</v>
      </c>
      <c r="E161" s="94">
        <f ca="1">E97</f>
        <v>852</v>
      </c>
      <c r="F161" s="67">
        <f ca="1">E161/$E$167</f>
        <v>1</v>
      </c>
      <c r="G161" s="83">
        <f ca="1">(F161*5)/100%</f>
        <v>5</v>
      </c>
    </row>
    <row r="162" spans="3:7" ht="15.75" thickBot="1" x14ac:dyDescent="0.3">
      <c r="C162" s="8" t="str">
        <f t="shared" ref="C162:D165" si="7">C98</f>
        <v>Macroeconomic</v>
      </c>
      <c r="D162" s="35" t="str">
        <f t="shared" si="7"/>
        <v>Talent scarcity</v>
      </c>
      <c r="E162" s="94">
        <f ca="1">E98</f>
        <v>693</v>
      </c>
      <c r="F162" s="67">
        <f ca="1">E162/$E$167</f>
        <v>0.81338028169014087</v>
      </c>
      <c r="G162" s="83">
        <f ca="1">(F162*5)/100%</f>
        <v>4.066901408450704</v>
      </c>
    </row>
    <row r="163" spans="3:7" ht="15.75" thickBot="1" x14ac:dyDescent="0.3">
      <c r="C163" s="8" t="str">
        <f t="shared" si="7"/>
        <v>Macroeconomic</v>
      </c>
      <c r="D163" s="35" t="str">
        <f t="shared" si="7"/>
        <v>Energy water food nexus</v>
      </c>
      <c r="E163" s="94">
        <f ca="1">E99</f>
        <v>492</v>
      </c>
      <c r="F163" s="67">
        <f ca="1">E163/$E$167</f>
        <v>0.57746478873239437</v>
      </c>
      <c r="G163" s="83">
        <f ca="1">(F163*5)/100%</f>
        <v>2.887323943661972</v>
      </c>
    </row>
    <row r="164" spans="3:7" ht="15.75" thickBot="1" x14ac:dyDescent="0.3">
      <c r="C164" s="8" t="str">
        <f t="shared" si="7"/>
        <v>Vision &amp; technology</v>
      </c>
      <c r="D164" s="35" t="str">
        <f t="shared" si="7"/>
        <v>Unconventional fossil fuels</v>
      </c>
      <c r="E164" s="94">
        <f ca="1">E100</f>
        <v>412</v>
      </c>
      <c r="F164" s="67">
        <f ca="1">E164/$E$167</f>
        <v>0.48356807511737088</v>
      </c>
      <c r="G164" s="83">
        <f ca="1">(F164*5)/100%</f>
        <v>2.4178403755868545</v>
      </c>
    </row>
    <row r="165" spans="3:7" ht="15.75" thickBot="1" x14ac:dyDescent="0.3">
      <c r="C165" s="8" t="str">
        <f t="shared" si="7"/>
        <v>Macroeconomic</v>
      </c>
      <c r="D165" s="35" t="str">
        <f t="shared" si="7"/>
        <v>Global climate framework uncertainty</v>
      </c>
      <c r="E165" s="110">
        <f ca="1">E101</f>
        <v>368</v>
      </c>
      <c r="F165" s="70">
        <f ca="1">E165/$E$167</f>
        <v>0.431924882629108</v>
      </c>
      <c r="G165" s="84">
        <f ca="1">(F165*5)/100%</f>
        <v>2.15962441314554</v>
      </c>
    </row>
    <row r="166" spans="3:7" ht="15.75" thickBot="1" x14ac:dyDescent="0.3">
      <c r="F166" s="24"/>
    </row>
    <row r="167" spans="3:7" ht="15.75" thickBot="1" x14ac:dyDescent="0.3">
      <c r="D167" s="82" t="s">
        <v>223</v>
      </c>
      <c r="E167" s="41">
        <f ca="1">MAX(E161:E165)</f>
        <v>852</v>
      </c>
      <c r="F167" s="24"/>
    </row>
    <row r="168" spans="3:7" x14ac:dyDescent="0.25">
      <c r="F168" s="24"/>
    </row>
    <row r="169" spans="3:7" x14ac:dyDescent="0.25">
      <c r="F169" s="24"/>
    </row>
    <row r="170" spans="3:7" x14ac:dyDescent="0.25">
      <c r="F170" s="24"/>
    </row>
    <row r="171" spans="3:7" x14ac:dyDescent="0.25">
      <c r="F171" s="24"/>
    </row>
    <row r="172" spans="3:7" x14ac:dyDescent="0.25">
      <c r="F172" s="24"/>
    </row>
    <row r="173" spans="3:7" x14ac:dyDescent="0.25">
      <c r="F173" s="24"/>
    </row>
    <row r="174" spans="3:7" x14ac:dyDescent="0.25">
      <c r="F174" s="24"/>
    </row>
    <row r="175" spans="3:7" x14ac:dyDescent="0.25">
      <c r="F175" s="24"/>
    </row>
    <row r="176" spans="3:7" x14ac:dyDescent="0.25">
      <c r="F176" s="24"/>
    </row>
    <row r="177" spans="6:6" x14ac:dyDescent="0.25">
      <c r="F177" s="24"/>
    </row>
    <row r="178" spans="6:6" x14ac:dyDescent="0.25">
      <c r="F178" s="24"/>
    </row>
    <row r="179" spans="6:6" x14ac:dyDescent="0.25">
      <c r="F179" s="24"/>
    </row>
    <row r="180" spans="6:6" x14ac:dyDescent="0.25">
      <c r="F180" s="24"/>
    </row>
    <row r="181" spans="6:6" x14ac:dyDescent="0.25">
      <c r="F181" s="24"/>
    </row>
    <row r="182" spans="6:6" x14ac:dyDescent="0.25">
      <c r="F182" s="24"/>
    </row>
    <row r="183" spans="6:6" x14ac:dyDescent="0.25">
      <c r="F183" s="24"/>
    </row>
    <row r="184" spans="6:6" x14ac:dyDescent="0.25">
      <c r="F184" s="24"/>
    </row>
    <row r="185" spans="6:6" x14ac:dyDescent="0.25">
      <c r="F185" s="24"/>
    </row>
    <row r="186" spans="6:6" x14ac:dyDescent="0.25">
      <c r="F186" s="24"/>
    </row>
    <row r="187" spans="6:6" x14ac:dyDescent="0.25">
      <c r="F187" s="24"/>
    </row>
    <row r="188" spans="6:6" x14ac:dyDescent="0.25">
      <c r="F188" s="24"/>
    </row>
    <row r="189" spans="6:6" x14ac:dyDescent="0.25">
      <c r="F189" s="24"/>
    </row>
    <row r="190" spans="6:6" x14ac:dyDescent="0.25">
      <c r="F190" s="24"/>
    </row>
    <row r="191" spans="6:6" x14ac:dyDescent="0.25">
      <c r="F191" s="24"/>
    </row>
    <row r="192" spans="6:6" x14ac:dyDescent="0.25">
      <c r="F192" s="24"/>
    </row>
    <row r="193" spans="6:6" x14ac:dyDescent="0.25">
      <c r="F193" s="24"/>
    </row>
    <row r="194" spans="6:6" x14ac:dyDescent="0.25">
      <c r="F194" s="24"/>
    </row>
    <row r="195" spans="6:6" x14ac:dyDescent="0.25">
      <c r="F195" s="24"/>
    </row>
    <row r="196" spans="6:6" x14ac:dyDescent="0.25">
      <c r="F196" s="24"/>
    </row>
    <row r="197" spans="6:6" x14ac:dyDescent="0.25">
      <c r="F197" s="24"/>
    </row>
    <row r="198" spans="6:6" x14ac:dyDescent="0.25">
      <c r="F198" s="24"/>
    </row>
    <row r="199" spans="6:6" x14ac:dyDescent="0.25">
      <c r="F199" s="24"/>
    </row>
    <row r="200" spans="6:6" x14ac:dyDescent="0.25">
      <c r="F200" s="24"/>
    </row>
    <row r="201" spans="6:6" x14ac:dyDescent="0.25">
      <c r="F201" s="24"/>
    </row>
    <row r="202" spans="6:6" x14ac:dyDescent="0.25">
      <c r="F202" s="24"/>
    </row>
    <row r="203" spans="6:6" x14ac:dyDescent="0.25">
      <c r="F203" s="24"/>
    </row>
    <row r="204" spans="6:6" x14ac:dyDescent="0.25">
      <c r="F204" s="24"/>
    </row>
    <row r="205" spans="6:6" x14ac:dyDescent="0.25">
      <c r="F205" s="24"/>
    </row>
    <row r="206" spans="6:6" x14ac:dyDescent="0.25">
      <c r="F206" s="24"/>
    </row>
    <row r="207" spans="6:6" x14ac:dyDescent="0.25">
      <c r="F207" s="24"/>
    </row>
    <row r="208" spans="6:6" x14ac:dyDescent="0.25">
      <c r="F208" s="24"/>
    </row>
    <row r="209" spans="6:6" x14ac:dyDescent="0.25">
      <c r="F209" s="24"/>
    </row>
    <row r="210" spans="6:6" x14ac:dyDescent="0.25">
      <c r="F210" s="24"/>
    </row>
    <row r="211" spans="6:6" x14ac:dyDescent="0.25">
      <c r="F211" s="24"/>
    </row>
    <row r="212" spans="6:6" x14ac:dyDescent="0.25">
      <c r="F212" s="24"/>
    </row>
    <row r="213" spans="6:6" x14ac:dyDescent="0.25">
      <c r="F213" s="24"/>
    </row>
    <row r="214" spans="6:6" x14ac:dyDescent="0.25">
      <c r="F214" s="24"/>
    </row>
    <row r="215" spans="6:6" x14ac:dyDescent="0.25">
      <c r="F215" s="24"/>
    </row>
    <row r="216" spans="6:6" x14ac:dyDescent="0.25">
      <c r="F216" s="24"/>
    </row>
    <row r="217" spans="6:6" x14ac:dyDescent="0.25">
      <c r="F217" s="24"/>
    </row>
    <row r="218" spans="6:6" x14ac:dyDescent="0.25">
      <c r="F218" s="24"/>
    </row>
    <row r="219" spans="6:6" x14ac:dyDescent="0.25">
      <c r="F219" s="24"/>
    </row>
    <row r="220" spans="6:6" x14ac:dyDescent="0.25">
      <c r="F220" s="24"/>
    </row>
    <row r="221" spans="6:6" x14ac:dyDescent="0.25">
      <c r="F221" s="24"/>
    </row>
    <row r="222" spans="6:6" x14ac:dyDescent="0.25">
      <c r="F222" s="8"/>
    </row>
    <row r="223" spans="6:6" x14ac:dyDescent="0.25">
      <c r="F223" s="8"/>
    </row>
    <row r="224" spans="6:6" x14ac:dyDescent="0.25">
      <c r="F224" s="8"/>
    </row>
    <row r="225" spans="6:6" x14ac:dyDescent="0.25">
      <c r="F225" s="8"/>
    </row>
    <row r="226" spans="6:6" x14ac:dyDescent="0.25">
      <c r="F226" s="8"/>
    </row>
    <row r="227" spans="6:6" x14ac:dyDescent="0.25">
      <c r="F227" s="8"/>
    </row>
    <row r="228" spans="6:6" x14ac:dyDescent="0.25">
      <c r="F228" s="8"/>
    </row>
    <row r="229" spans="6:6" x14ac:dyDescent="0.25">
      <c r="F229" s="8"/>
    </row>
    <row r="230" spans="6:6" x14ac:dyDescent="0.25">
      <c r="F230" s="8"/>
    </row>
    <row r="231" spans="6:6" x14ac:dyDescent="0.25">
      <c r="F231" s="8"/>
    </row>
    <row r="232" spans="6:6" x14ac:dyDescent="0.25">
      <c r="F232" s="8"/>
    </row>
    <row r="233" spans="6:6" x14ac:dyDescent="0.25">
      <c r="F233" s="8"/>
    </row>
    <row r="234" spans="6:6" x14ac:dyDescent="0.25">
      <c r="F234" s="8"/>
    </row>
    <row r="235" spans="6:6" x14ac:dyDescent="0.25">
      <c r="F235" s="8"/>
    </row>
    <row r="236" spans="6:6" x14ac:dyDescent="0.25">
      <c r="F236" s="8"/>
    </row>
    <row r="237" spans="6:6" x14ac:dyDescent="0.25">
      <c r="F237" s="8"/>
    </row>
    <row r="238" spans="6:6" x14ac:dyDescent="0.25">
      <c r="F238" s="8"/>
    </row>
    <row r="239" spans="6:6" x14ac:dyDescent="0.25">
      <c r="F239" s="8"/>
    </row>
    <row r="240" spans="6:6" x14ac:dyDescent="0.25">
      <c r="F240" s="8"/>
    </row>
    <row r="241" spans="6:6" x14ac:dyDescent="0.25">
      <c r="F241" s="8"/>
    </row>
    <row r="242" spans="6:6" x14ac:dyDescent="0.25">
      <c r="F242" s="8"/>
    </row>
    <row r="243" spans="6:6" x14ac:dyDescent="0.25">
      <c r="F243" s="8"/>
    </row>
    <row r="244" spans="6:6" x14ac:dyDescent="0.25">
      <c r="F244" s="8"/>
    </row>
    <row r="245" spans="6:6" x14ac:dyDescent="0.25">
      <c r="F245" s="8"/>
    </row>
  </sheetData>
  <sortState ref="C65:E101">
    <sortCondition descending="1" ref="E64"/>
  </sortState>
  <mergeCells count="42">
    <mergeCell ref="O3:O4"/>
    <mergeCell ref="R3:R4"/>
    <mergeCell ref="U3:U4"/>
    <mergeCell ref="F3:F4"/>
    <mergeCell ref="I3:I4"/>
    <mergeCell ref="L3:L4"/>
    <mergeCell ref="AD3:AD4"/>
    <mergeCell ref="AG3:AG4"/>
    <mergeCell ref="AJ3:AJ4"/>
    <mergeCell ref="X3:X4"/>
    <mergeCell ref="AA3:AA4"/>
    <mergeCell ref="AV3:AV4"/>
    <mergeCell ref="AY3:AY4"/>
    <mergeCell ref="BB3:BB4"/>
    <mergeCell ref="AM3:AM4"/>
    <mergeCell ref="AP3:AP4"/>
    <mergeCell ref="AS3:AS4"/>
    <mergeCell ref="BT3:BT4"/>
    <mergeCell ref="BE3:BE4"/>
    <mergeCell ref="BH3:BH4"/>
    <mergeCell ref="DA3:DA4"/>
    <mergeCell ref="DD3:DD4"/>
    <mergeCell ref="CO3:CO4"/>
    <mergeCell ref="CR3:CR4"/>
    <mergeCell ref="CU3:CU4"/>
    <mergeCell ref="BK3:BK4"/>
    <mergeCell ref="B2:D4"/>
    <mergeCell ref="DG3:DG4"/>
    <mergeCell ref="DJ3:DJ4"/>
    <mergeCell ref="D104:G104"/>
    <mergeCell ref="D159:G159"/>
    <mergeCell ref="C63:E63"/>
    <mergeCell ref="D148:G148"/>
    <mergeCell ref="CX3:CX4"/>
    <mergeCell ref="CF3:CF4"/>
    <mergeCell ref="CI3:CI4"/>
    <mergeCell ref="CL3:CL4"/>
    <mergeCell ref="BW3:BW4"/>
    <mergeCell ref="BZ3:BZ4"/>
    <mergeCell ref="CC3:CC4"/>
    <mergeCell ref="BN3:BN4"/>
    <mergeCell ref="BQ3:BQ4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DN332"/>
  <sheetViews>
    <sheetView topLeftCell="C67" zoomScale="80" zoomScaleNormal="80" workbookViewId="0">
      <selection activeCell="D59" sqref="D59"/>
    </sheetView>
  </sheetViews>
  <sheetFormatPr baseColWidth="10" defaultRowHeight="15" x14ac:dyDescent="0.25"/>
  <cols>
    <col min="1" max="1" width="11.42578125" style="8"/>
    <col min="2" max="2" width="21" style="8" bestFit="1" customWidth="1"/>
    <col min="3" max="3" width="7.7109375" style="8" customWidth="1"/>
    <col min="4" max="4" width="24.42578125" style="8" customWidth="1"/>
    <col min="5" max="5" width="49.42578125" bestFit="1" customWidth="1"/>
    <col min="6" max="6" width="19.140625" style="8" bestFit="1" customWidth="1"/>
    <col min="7" max="7" width="29.28515625" style="8" bestFit="1" customWidth="1"/>
    <col min="8" max="8" width="19.140625" style="8" bestFit="1" customWidth="1"/>
    <col min="9" max="9" width="18.7109375" style="8" customWidth="1"/>
    <col min="10" max="10" width="20.5703125" customWidth="1"/>
    <col min="12" max="12" width="15.140625" customWidth="1"/>
    <col min="13" max="13" width="20.42578125" customWidth="1"/>
    <col min="15" max="15" width="15.5703125" customWidth="1"/>
    <col min="16" max="16" width="21" customWidth="1"/>
    <col min="18" max="18" width="17.42578125" customWidth="1"/>
    <col min="19" max="19" width="16" customWidth="1"/>
    <col min="21" max="21" width="16" customWidth="1"/>
    <col min="22" max="22" width="18.5703125" customWidth="1"/>
    <col min="24" max="24" width="13.85546875" customWidth="1"/>
    <col min="25" max="25" width="17.140625" customWidth="1"/>
    <col min="28" max="28" width="18.7109375" customWidth="1"/>
    <col min="31" max="31" width="20" customWidth="1"/>
    <col min="34" max="34" width="21.85546875" customWidth="1"/>
    <col min="37" max="37" width="18.28515625" customWidth="1"/>
    <col min="40" max="40" width="19.85546875" customWidth="1"/>
    <col min="43" max="43" width="15.85546875" customWidth="1"/>
    <col min="44" max="44" width="14.140625" style="8" customWidth="1"/>
    <col min="45" max="46" width="18.42578125" style="8" customWidth="1"/>
    <col min="49" max="49" width="19.5703125" customWidth="1"/>
    <col min="52" max="52" width="18.85546875" customWidth="1"/>
    <col min="55" max="55" width="18.28515625" customWidth="1"/>
    <col min="58" max="58" width="25.7109375" customWidth="1"/>
    <col min="60" max="60" width="17.42578125" customWidth="1"/>
    <col min="61" max="61" width="30.42578125" customWidth="1"/>
    <col min="64" max="64" width="24.140625" customWidth="1"/>
    <col min="67" max="67" width="23.28515625" customWidth="1"/>
    <col min="70" max="70" width="22.28515625" customWidth="1"/>
    <col min="73" max="73" width="21" customWidth="1"/>
    <col min="76" max="76" width="21.140625" customWidth="1"/>
    <col min="79" max="79" width="19.85546875" customWidth="1"/>
    <col min="82" max="82" width="22.42578125" customWidth="1"/>
    <col min="85" max="85" width="21.28515625" customWidth="1"/>
    <col min="87" max="87" width="19" customWidth="1"/>
    <col min="88" max="88" width="22.85546875" customWidth="1"/>
    <col min="91" max="91" width="22" customWidth="1"/>
    <col min="94" max="94" width="22.42578125" customWidth="1"/>
    <col min="96" max="96" width="16" customWidth="1"/>
    <col min="97" max="97" width="20.28515625" customWidth="1"/>
    <col min="100" max="100" width="16.5703125" customWidth="1"/>
    <col min="102" max="102" width="15.28515625" customWidth="1"/>
    <col min="103" max="103" width="22.42578125" customWidth="1"/>
    <col min="105" max="105" width="14.42578125" customWidth="1"/>
    <col min="106" max="106" width="18.7109375" customWidth="1"/>
    <col min="108" max="108" width="14.85546875" customWidth="1"/>
    <col min="109" max="109" width="22.5703125" customWidth="1"/>
    <col min="112" max="112" width="18.140625" customWidth="1"/>
    <col min="113" max="113" width="11.5703125" customWidth="1"/>
    <col min="114" max="114" width="20" bestFit="1" customWidth="1"/>
    <col min="117" max="117" width="20" bestFit="1" customWidth="1"/>
  </cols>
  <sheetData>
    <row r="1" spans="2:118" s="40" customFormat="1" x14ac:dyDescent="0.25"/>
    <row r="2" spans="2:118" ht="15.75" customHeight="1" thickBot="1" x14ac:dyDescent="0.3">
      <c r="B2" s="187" t="s">
        <v>390</v>
      </c>
      <c r="C2" s="187"/>
      <c r="D2" s="187"/>
      <c r="J2" s="8"/>
    </row>
    <row r="3" spans="2:118" s="8" customFormat="1" ht="15" customHeight="1" x14ac:dyDescent="0.25">
      <c r="B3" s="187"/>
      <c r="C3" s="187"/>
      <c r="D3" s="187"/>
      <c r="F3" s="197" t="s">
        <v>0</v>
      </c>
      <c r="G3" s="198"/>
      <c r="I3" s="197" t="s">
        <v>1</v>
      </c>
      <c r="J3" s="198"/>
      <c r="L3" s="197" t="s">
        <v>2</v>
      </c>
      <c r="M3" s="198"/>
      <c r="O3" s="197" t="s">
        <v>3</v>
      </c>
      <c r="P3" s="198"/>
      <c r="R3" s="197" t="s">
        <v>4</v>
      </c>
      <c r="S3" s="198"/>
      <c r="U3" s="197" t="s">
        <v>5</v>
      </c>
      <c r="V3" s="198"/>
      <c r="X3" s="197" t="s">
        <v>7</v>
      </c>
      <c r="Y3" s="198"/>
      <c r="AA3" s="197" t="s">
        <v>8</v>
      </c>
      <c r="AB3" s="198"/>
      <c r="AD3" s="197" t="s">
        <v>9</v>
      </c>
      <c r="AE3" s="198"/>
      <c r="AG3" s="197" t="s">
        <v>10</v>
      </c>
      <c r="AH3" s="198"/>
      <c r="AJ3" s="197" t="s">
        <v>12</v>
      </c>
      <c r="AK3" s="198"/>
      <c r="AM3" s="197" t="s">
        <v>11</v>
      </c>
      <c r="AN3" s="198"/>
      <c r="AP3" s="197" t="s">
        <v>13</v>
      </c>
      <c r="AQ3" s="198"/>
      <c r="AR3" s="111"/>
      <c r="AS3" s="197" t="s">
        <v>14</v>
      </c>
      <c r="AT3" s="198"/>
      <c r="AV3" s="197" t="s">
        <v>15</v>
      </c>
      <c r="AW3" s="198"/>
      <c r="AY3" s="197" t="s">
        <v>16</v>
      </c>
      <c r="AZ3" s="198"/>
      <c r="BB3" s="197" t="s">
        <v>17</v>
      </c>
      <c r="BC3" s="198"/>
      <c r="BE3" s="197" t="s">
        <v>187</v>
      </c>
      <c r="BF3" s="198"/>
      <c r="BH3" s="197" t="s">
        <v>18</v>
      </c>
      <c r="BI3" s="198"/>
      <c r="BK3" s="197" t="s">
        <v>19</v>
      </c>
      <c r="BL3" s="198"/>
      <c r="BN3" s="197" t="s">
        <v>20</v>
      </c>
      <c r="BO3" s="198"/>
      <c r="BQ3" s="197" t="s">
        <v>21</v>
      </c>
      <c r="BR3" s="198"/>
      <c r="BT3" s="197" t="s">
        <v>22</v>
      </c>
      <c r="BU3" s="198"/>
      <c r="BW3" s="197" t="s">
        <v>23</v>
      </c>
      <c r="BX3" s="198"/>
      <c r="BZ3" s="197" t="s">
        <v>24</v>
      </c>
      <c r="CA3" s="198"/>
      <c r="CC3" s="197" t="s">
        <v>25</v>
      </c>
      <c r="CD3" s="198"/>
      <c r="CF3" s="197" t="s">
        <v>26</v>
      </c>
      <c r="CG3" s="198"/>
      <c r="CI3" s="197" t="s">
        <v>200</v>
      </c>
      <c r="CJ3" s="198"/>
      <c r="CL3" s="197" t="s">
        <v>27</v>
      </c>
      <c r="CM3" s="198"/>
      <c r="CO3" s="197" t="s">
        <v>28</v>
      </c>
      <c r="CP3" s="198"/>
      <c r="CR3" s="197" t="s">
        <v>29</v>
      </c>
      <c r="CS3" s="198"/>
      <c r="CU3" s="197" t="s">
        <v>30</v>
      </c>
      <c r="CV3" s="198"/>
      <c r="CX3" s="197" t="s">
        <v>31</v>
      </c>
      <c r="CY3" s="198"/>
      <c r="DA3" s="197" t="s">
        <v>32</v>
      </c>
      <c r="DB3" s="198"/>
      <c r="DD3" s="197" t="s">
        <v>33</v>
      </c>
      <c r="DE3" s="198"/>
      <c r="DG3" s="197" t="s">
        <v>35</v>
      </c>
      <c r="DH3" s="198"/>
      <c r="DJ3" s="15" t="s">
        <v>220</v>
      </c>
      <c r="DK3" s="16"/>
      <c r="DM3" s="15" t="s">
        <v>361</v>
      </c>
      <c r="DN3" s="16"/>
    </row>
    <row r="4" spans="2:118" s="8" customFormat="1" ht="15" customHeight="1" x14ac:dyDescent="0.25">
      <c r="B4" s="187"/>
      <c r="C4" s="187"/>
      <c r="D4" s="187"/>
      <c r="F4" s="9"/>
      <c r="G4" s="12" t="s">
        <v>215</v>
      </c>
      <c r="I4" s="9"/>
      <c r="J4" s="12" t="s">
        <v>215</v>
      </c>
      <c r="L4" s="9"/>
      <c r="M4" s="12" t="s">
        <v>215</v>
      </c>
      <c r="O4" s="9"/>
      <c r="P4" s="12" t="s">
        <v>215</v>
      </c>
      <c r="R4" s="9"/>
      <c r="S4" s="12" t="s">
        <v>215</v>
      </c>
      <c r="U4" s="9"/>
      <c r="V4" s="12" t="s">
        <v>215</v>
      </c>
      <c r="X4" s="9"/>
      <c r="Y4" s="12" t="s">
        <v>215</v>
      </c>
      <c r="AA4" s="9"/>
      <c r="AB4" s="12" t="s">
        <v>215</v>
      </c>
      <c r="AD4" s="9"/>
      <c r="AE4" s="12" t="s">
        <v>215</v>
      </c>
      <c r="AG4" s="9"/>
      <c r="AH4" s="12" t="s">
        <v>215</v>
      </c>
      <c r="AJ4" s="9"/>
      <c r="AK4" s="12" t="s">
        <v>215</v>
      </c>
      <c r="AM4" s="9"/>
      <c r="AN4" s="12" t="s">
        <v>215</v>
      </c>
      <c r="AP4" s="9"/>
      <c r="AQ4" s="12" t="s">
        <v>215</v>
      </c>
      <c r="AR4" s="29" t="s">
        <v>216</v>
      </c>
      <c r="AS4" s="9"/>
      <c r="AT4" s="12" t="s">
        <v>215</v>
      </c>
      <c r="AV4" s="9"/>
      <c r="AW4" s="12" t="s">
        <v>215</v>
      </c>
      <c r="AY4" s="9"/>
      <c r="AZ4" s="12" t="s">
        <v>215</v>
      </c>
      <c r="BB4" s="9"/>
      <c r="BC4" s="12" t="s">
        <v>215</v>
      </c>
      <c r="BE4" s="9"/>
      <c r="BF4" s="12" t="s">
        <v>215</v>
      </c>
      <c r="BH4" s="9"/>
      <c r="BI4" s="12" t="s">
        <v>215</v>
      </c>
      <c r="BK4" s="9"/>
      <c r="BL4" s="12" t="s">
        <v>215</v>
      </c>
      <c r="BN4" s="9"/>
      <c r="BO4" s="12" t="s">
        <v>215</v>
      </c>
      <c r="BQ4" s="9"/>
      <c r="BR4" s="12" t="s">
        <v>215</v>
      </c>
      <c r="BT4" s="9"/>
      <c r="BU4" s="12" t="s">
        <v>215</v>
      </c>
      <c r="BW4" s="9"/>
      <c r="BX4" s="12" t="s">
        <v>215</v>
      </c>
      <c r="BZ4" s="9"/>
      <c r="CA4" s="12" t="s">
        <v>215</v>
      </c>
      <c r="CC4" s="9"/>
      <c r="CD4" s="12" t="s">
        <v>215</v>
      </c>
      <c r="CF4" s="9"/>
      <c r="CG4" s="12" t="s">
        <v>215</v>
      </c>
      <c r="CI4" s="9"/>
      <c r="CJ4" s="12" t="s">
        <v>215</v>
      </c>
      <c r="CL4" s="9"/>
      <c r="CM4" s="12" t="s">
        <v>215</v>
      </c>
      <c r="CO4" s="9"/>
      <c r="CP4" s="12" t="s">
        <v>215</v>
      </c>
      <c r="CR4" s="9"/>
      <c r="CS4" s="12" t="s">
        <v>215</v>
      </c>
      <c r="CU4" s="9"/>
      <c r="CV4" s="12" t="s">
        <v>215</v>
      </c>
      <c r="CX4" s="9"/>
      <c r="CY4" s="12" t="s">
        <v>215</v>
      </c>
      <c r="DA4" s="9"/>
      <c r="DB4" s="12" t="s">
        <v>215</v>
      </c>
      <c r="DD4" s="9"/>
      <c r="DE4" s="12" t="s">
        <v>215</v>
      </c>
      <c r="DG4" s="9"/>
      <c r="DH4" s="12" t="s">
        <v>215</v>
      </c>
      <c r="DJ4" s="9"/>
      <c r="DK4" s="112" t="s">
        <v>215</v>
      </c>
      <c r="DM4" s="9"/>
      <c r="DN4" s="12" t="s">
        <v>215</v>
      </c>
    </row>
    <row r="5" spans="2:118" ht="15.75" thickBot="1" x14ac:dyDescent="0.3">
      <c r="B5" s="187"/>
      <c r="C5" s="187"/>
      <c r="D5" s="187"/>
      <c r="F5" s="17">
        <v>2013</v>
      </c>
      <c r="G5" s="18">
        <v>13928</v>
      </c>
      <c r="I5" s="17">
        <f>F5</f>
        <v>2013</v>
      </c>
      <c r="J5" s="18">
        <v>76</v>
      </c>
      <c r="L5" s="17">
        <f>I5</f>
        <v>2013</v>
      </c>
      <c r="M5" s="18">
        <v>2604</v>
      </c>
      <c r="O5" s="17">
        <f>L5</f>
        <v>2013</v>
      </c>
      <c r="P5" s="18">
        <v>1270</v>
      </c>
      <c r="R5" s="17">
        <f>O5</f>
        <v>2013</v>
      </c>
      <c r="S5" s="18">
        <v>1309</v>
      </c>
      <c r="U5" s="17">
        <f>R5</f>
        <v>2013</v>
      </c>
      <c r="V5" s="18">
        <v>3193</v>
      </c>
      <c r="X5" s="17">
        <v>2013</v>
      </c>
      <c r="Y5" s="18">
        <v>330</v>
      </c>
      <c r="AA5" s="17">
        <f>X5</f>
        <v>2013</v>
      </c>
      <c r="AB5" s="18">
        <v>43</v>
      </c>
      <c r="AD5" s="17">
        <f>AA5</f>
        <v>2013</v>
      </c>
      <c r="AE5" s="18">
        <v>6</v>
      </c>
      <c r="AG5" s="17">
        <f>AD5</f>
        <v>2013</v>
      </c>
      <c r="AH5" s="18">
        <v>102</v>
      </c>
      <c r="AJ5" s="17">
        <f>AG5</f>
        <v>2013</v>
      </c>
      <c r="AK5" s="18">
        <v>11122</v>
      </c>
      <c r="AM5" s="17">
        <f>AJ5</f>
        <v>2013</v>
      </c>
      <c r="AN5" s="18">
        <v>10732</v>
      </c>
      <c r="AP5" s="17">
        <f>AM5</f>
        <v>2013</v>
      </c>
      <c r="AQ5" s="18">
        <v>1530</v>
      </c>
      <c r="AR5" s="30">
        <f>AVERAGE(AQ5,AT5)</f>
        <v>2390.5</v>
      </c>
      <c r="AS5" s="17">
        <f>AP5</f>
        <v>2013</v>
      </c>
      <c r="AT5" s="18">
        <v>3251</v>
      </c>
      <c r="AV5" s="17">
        <f>AS5</f>
        <v>2013</v>
      </c>
      <c r="AW5" s="18">
        <v>813</v>
      </c>
      <c r="AY5" s="17">
        <f>AV5</f>
        <v>2013</v>
      </c>
      <c r="AZ5" s="18">
        <v>1</v>
      </c>
      <c r="BB5" s="17">
        <f>AY5</f>
        <v>2013</v>
      </c>
      <c r="BC5" s="18">
        <v>178</v>
      </c>
      <c r="BE5" s="17">
        <f>BB5</f>
        <v>2013</v>
      </c>
      <c r="BF5" s="18">
        <v>8</v>
      </c>
      <c r="BH5" s="17">
        <f>BE5</f>
        <v>2013</v>
      </c>
      <c r="BI5" s="18">
        <v>230</v>
      </c>
      <c r="BK5" s="17">
        <f>BH5</f>
        <v>2013</v>
      </c>
      <c r="BL5" s="18">
        <v>1006</v>
      </c>
      <c r="BN5" s="17">
        <f>BK5</f>
        <v>2013</v>
      </c>
      <c r="BO5" s="18">
        <v>5692</v>
      </c>
      <c r="BQ5" s="17">
        <f>BN5</f>
        <v>2013</v>
      </c>
      <c r="BR5" s="18">
        <v>45760</v>
      </c>
      <c r="BT5" s="17">
        <f>BQ5</f>
        <v>2013</v>
      </c>
      <c r="BU5" s="18">
        <v>16493</v>
      </c>
      <c r="BW5" s="17">
        <f>BT5</f>
        <v>2013</v>
      </c>
      <c r="BX5" s="18">
        <v>465</v>
      </c>
      <c r="BZ5" s="17">
        <f>BW5</f>
        <v>2013</v>
      </c>
      <c r="CA5" s="18">
        <v>203</v>
      </c>
      <c r="CC5" s="17">
        <f>BZ5</f>
        <v>2013</v>
      </c>
      <c r="CD5" s="18">
        <v>7673</v>
      </c>
      <c r="CF5" s="17">
        <f>CC5</f>
        <v>2013</v>
      </c>
      <c r="CG5" s="18">
        <v>5360</v>
      </c>
      <c r="CI5" s="17">
        <f>CF5</f>
        <v>2013</v>
      </c>
      <c r="CJ5" s="18">
        <v>9216</v>
      </c>
      <c r="CL5" s="17">
        <f>CI5</f>
        <v>2013</v>
      </c>
      <c r="CM5" s="18">
        <v>8855</v>
      </c>
      <c r="CO5" s="17">
        <f>CL5</f>
        <v>2013</v>
      </c>
      <c r="CP5" s="18">
        <v>2460</v>
      </c>
      <c r="CR5" s="17">
        <f>CO5</f>
        <v>2013</v>
      </c>
      <c r="CS5" s="18">
        <v>7902</v>
      </c>
      <c r="CU5" s="17">
        <f>CR5</f>
        <v>2013</v>
      </c>
      <c r="CV5" s="18">
        <v>37140</v>
      </c>
      <c r="CX5" s="17">
        <f>CU5</f>
        <v>2013</v>
      </c>
      <c r="CY5" s="18">
        <v>140327</v>
      </c>
      <c r="DA5" s="17">
        <f>CX5</f>
        <v>2013</v>
      </c>
      <c r="DB5" s="18">
        <v>2350</v>
      </c>
      <c r="DD5" s="17">
        <f>DA5</f>
        <v>2013</v>
      </c>
      <c r="DE5" s="18">
        <v>120</v>
      </c>
      <c r="DG5" s="17">
        <f>DD5</f>
        <v>2013</v>
      </c>
      <c r="DH5" s="18">
        <v>2092</v>
      </c>
      <c r="DJ5" s="17">
        <f>DG5</f>
        <v>2013</v>
      </c>
      <c r="DK5" s="18">
        <v>99894</v>
      </c>
      <c r="DM5" s="17">
        <f>DJ5</f>
        <v>2013</v>
      </c>
      <c r="DN5" s="18">
        <v>10</v>
      </c>
    </row>
    <row r="6" spans="2:118" ht="20.25" customHeight="1" x14ac:dyDescent="0.25">
      <c r="B6" s="187"/>
      <c r="C6" s="187"/>
      <c r="D6" s="187"/>
    </row>
    <row r="7" spans="2:118" ht="126.75" customHeight="1" x14ac:dyDescent="0.25"/>
    <row r="8" spans="2:118" s="8" customFormat="1" x14ac:dyDescent="0.25"/>
    <row r="9" spans="2:118" s="40" customFormat="1" ht="376.5" customHeight="1" x14ac:dyDescent="0.25"/>
    <row r="10" spans="2:118" s="8" customFormat="1" x14ac:dyDescent="0.25"/>
    <row r="11" spans="2:118" s="8" customFormat="1" x14ac:dyDescent="0.25"/>
    <row r="12" spans="2:118" s="8" customFormat="1" x14ac:dyDescent="0.25"/>
    <row r="13" spans="2:118" s="8" customFormat="1" x14ac:dyDescent="0.25"/>
    <row r="15" spans="2:118" ht="15.75" thickBot="1" x14ac:dyDescent="0.3">
      <c r="E15" s="8" t="s">
        <v>362</v>
      </c>
    </row>
    <row r="16" spans="2:118" ht="15.75" thickBot="1" x14ac:dyDescent="0.3">
      <c r="D16" s="36"/>
      <c r="E16" s="106" t="s">
        <v>221</v>
      </c>
      <c r="F16" s="80" t="s">
        <v>215</v>
      </c>
    </row>
    <row r="17" spans="4:7" ht="15.75" thickBot="1" x14ac:dyDescent="0.3">
      <c r="D17" s="53" t="s">
        <v>233</v>
      </c>
      <c r="E17" s="15" t="s">
        <v>219</v>
      </c>
      <c r="F17" s="22">
        <f ca="1">INDIRECT(CONCATENATE("patents!B",G17))</f>
        <v>10</v>
      </c>
      <c r="G17" s="123">
        <v>2</v>
      </c>
    </row>
    <row r="18" spans="4:7" ht="15.75" thickBot="1" x14ac:dyDescent="0.3">
      <c r="D18" s="54" t="s">
        <v>233</v>
      </c>
      <c r="E18" s="15" t="s">
        <v>1</v>
      </c>
      <c r="F18" s="22">
        <f t="shared" ref="F18:F53" ca="1" si="0">INDIRECT(CONCATENATE("patents!B",G18))</f>
        <v>76</v>
      </c>
      <c r="G18" s="123">
        <v>3</v>
      </c>
    </row>
    <row r="19" spans="4:7" ht="15.75" thickBot="1" x14ac:dyDescent="0.3">
      <c r="D19" s="54" t="s">
        <v>233</v>
      </c>
      <c r="E19" s="15" t="s">
        <v>2</v>
      </c>
      <c r="F19" s="22">
        <f t="shared" ca="1" si="0"/>
        <v>2604</v>
      </c>
      <c r="G19" s="123">
        <v>4</v>
      </c>
    </row>
    <row r="20" spans="4:7" ht="15.75" thickBot="1" x14ac:dyDescent="0.3">
      <c r="D20" s="54" t="s">
        <v>233</v>
      </c>
      <c r="E20" s="15" t="s">
        <v>3</v>
      </c>
      <c r="F20" s="22">
        <f t="shared" ca="1" si="0"/>
        <v>1270</v>
      </c>
      <c r="G20" s="123">
        <v>5</v>
      </c>
    </row>
    <row r="21" spans="4:7" ht="15.75" thickBot="1" x14ac:dyDescent="0.3">
      <c r="D21" s="54" t="s">
        <v>233</v>
      </c>
      <c r="E21" s="15" t="s">
        <v>4</v>
      </c>
      <c r="F21" s="22">
        <f t="shared" ca="1" si="0"/>
        <v>1309</v>
      </c>
      <c r="G21" s="123">
        <v>6</v>
      </c>
    </row>
    <row r="22" spans="4:7" ht="15.75" thickBot="1" x14ac:dyDescent="0.3">
      <c r="D22" s="54" t="s">
        <v>233</v>
      </c>
      <c r="E22" s="15" t="s">
        <v>5</v>
      </c>
      <c r="F22" s="22">
        <f t="shared" ca="1" si="0"/>
        <v>3193</v>
      </c>
      <c r="G22" s="123">
        <v>7</v>
      </c>
    </row>
    <row r="23" spans="4:7" ht="15.75" thickBot="1" x14ac:dyDescent="0.3">
      <c r="D23" s="54" t="s">
        <v>233</v>
      </c>
      <c r="E23" s="15" t="s">
        <v>7</v>
      </c>
      <c r="F23" s="22">
        <f t="shared" ca="1" si="0"/>
        <v>330</v>
      </c>
      <c r="G23" s="123">
        <v>8</v>
      </c>
    </row>
    <row r="24" spans="4:7" ht="15.75" thickBot="1" x14ac:dyDescent="0.3">
      <c r="D24" s="54" t="s">
        <v>233</v>
      </c>
      <c r="E24" s="15" t="s">
        <v>8</v>
      </c>
      <c r="F24" s="22">
        <f t="shared" ca="1" si="0"/>
        <v>43</v>
      </c>
      <c r="G24" s="123">
        <v>9</v>
      </c>
    </row>
    <row r="25" spans="4:7" ht="15.75" thickBot="1" x14ac:dyDescent="0.3">
      <c r="D25" s="54" t="s">
        <v>233</v>
      </c>
      <c r="E25" s="38" t="s">
        <v>9</v>
      </c>
      <c r="F25" s="22">
        <f t="shared" ca="1" si="0"/>
        <v>6</v>
      </c>
      <c r="G25" s="123">
        <v>10</v>
      </c>
    </row>
    <row r="26" spans="4:7" ht="15.75" thickBot="1" x14ac:dyDescent="0.3">
      <c r="D26" s="54" t="s">
        <v>233</v>
      </c>
      <c r="E26" s="15" t="s">
        <v>10</v>
      </c>
      <c r="F26" s="22">
        <f t="shared" ca="1" si="0"/>
        <v>102</v>
      </c>
      <c r="G26" s="123">
        <v>11</v>
      </c>
    </row>
    <row r="27" spans="4:7" ht="15.75" thickBot="1" x14ac:dyDescent="0.3">
      <c r="D27" s="54" t="s">
        <v>233</v>
      </c>
      <c r="E27" s="15" t="s">
        <v>12</v>
      </c>
      <c r="F27" s="22">
        <f t="shared" ca="1" si="0"/>
        <v>11122</v>
      </c>
      <c r="G27" s="123">
        <v>12</v>
      </c>
    </row>
    <row r="28" spans="4:7" ht="15.75" thickBot="1" x14ac:dyDescent="0.3">
      <c r="D28" s="54" t="s">
        <v>233</v>
      </c>
      <c r="E28" s="15" t="s">
        <v>11</v>
      </c>
      <c r="F28" s="22">
        <f t="shared" ca="1" si="0"/>
        <v>10732</v>
      </c>
      <c r="G28" s="123">
        <v>13</v>
      </c>
    </row>
    <row r="29" spans="4:7" ht="15.75" thickBot="1" x14ac:dyDescent="0.3">
      <c r="D29" s="54" t="s">
        <v>233</v>
      </c>
      <c r="E29" s="15" t="s">
        <v>19</v>
      </c>
      <c r="F29" s="22">
        <f t="shared" ca="1" si="0"/>
        <v>1006</v>
      </c>
      <c r="G29" s="123">
        <v>14</v>
      </c>
    </row>
    <row r="30" spans="4:7" ht="15.75" thickBot="1" x14ac:dyDescent="0.3">
      <c r="D30" s="55" t="s">
        <v>235</v>
      </c>
      <c r="E30" s="15" t="s">
        <v>13</v>
      </c>
      <c r="F30" s="22">
        <f t="shared" ca="1" si="0"/>
        <v>2390.5</v>
      </c>
      <c r="G30" s="123">
        <v>15</v>
      </c>
    </row>
    <row r="31" spans="4:7" ht="15.75" thickBot="1" x14ac:dyDescent="0.3">
      <c r="D31" s="55" t="s">
        <v>235</v>
      </c>
      <c r="E31" s="15" t="s">
        <v>15</v>
      </c>
      <c r="F31" s="22">
        <f t="shared" ca="1" si="0"/>
        <v>813</v>
      </c>
      <c r="G31" s="123">
        <v>16</v>
      </c>
    </row>
    <row r="32" spans="4:7" ht="15.75" thickBot="1" x14ac:dyDescent="0.3">
      <c r="D32" s="55" t="s">
        <v>235</v>
      </c>
      <c r="E32" s="15" t="s">
        <v>16</v>
      </c>
      <c r="F32" s="22">
        <f t="shared" ca="1" si="0"/>
        <v>1</v>
      </c>
      <c r="G32" s="123">
        <v>17</v>
      </c>
    </row>
    <row r="33" spans="4:7" ht="15.75" thickBot="1" x14ac:dyDescent="0.3">
      <c r="D33" s="55" t="s">
        <v>235</v>
      </c>
      <c r="E33" s="15" t="s">
        <v>17</v>
      </c>
      <c r="F33" s="22">
        <f t="shared" ca="1" si="0"/>
        <v>178</v>
      </c>
      <c r="G33" s="123">
        <v>18</v>
      </c>
    </row>
    <row r="34" spans="4:7" ht="15.75" thickBot="1" x14ac:dyDescent="0.3">
      <c r="D34" s="55" t="s">
        <v>235</v>
      </c>
      <c r="E34" s="15" t="s">
        <v>187</v>
      </c>
      <c r="F34" s="22">
        <f t="shared" ca="1" si="0"/>
        <v>8</v>
      </c>
      <c r="G34" s="123">
        <v>19</v>
      </c>
    </row>
    <row r="35" spans="4:7" ht="15.75" thickBot="1" x14ac:dyDescent="0.3">
      <c r="D35" s="55" t="s">
        <v>235</v>
      </c>
      <c r="E35" s="15" t="s">
        <v>18</v>
      </c>
      <c r="F35" s="22">
        <f t="shared" ca="1" si="0"/>
        <v>230</v>
      </c>
      <c r="G35" s="123">
        <v>20</v>
      </c>
    </row>
    <row r="36" spans="4:7" ht="15.75" thickBot="1" x14ac:dyDescent="0.3">
      <c r="D36" s="56" t="s">
        <v>234</v>
      </c>
      <c r="E36" s="15" t="s">
        <v>20</v>
      </c>
      <c r="F36" s="22">
        <f t="shared" ca="1" si="0"/>
        <v>5692</v>
      </c>
      <c r="G36" s="123">
        <v>21</v>
      </c>
    </row>
    <row r="37" spans="4:7" ht="15.75" thickBot="1" x14ac:dyDescent="0.3">
      <c r="D37" s="56" t="s">
        <v>234</v>
      </c>
      <c r="E37" s="15" t="s">
        <v>21</v>
      </c>
      <c r="F37" s="22">
        <f t="shared" ca="1" si="0"/>
        <v>45760</v>
      </c>
      <c r="G37" s="123">
        <v>22</v>
      </c>
    </row>
    <row r="38" spans="4:7" ht="15.75" thickBot="1" x14ac:dyDescent="0.3">
      <c r="D38" s="56" t="s">
        <v>234</v>
      </c>
      <c r="E38" s="15" t="s">
        <v>22</v>
      </c>
      <c r="F38" s="22">
        <f t="shared" ca="1" si="0"/>
        <v>16493</v>
      </c>
      <c r="G38" s="123">
        <v>23</v>
      </c>
    </row>
    <row r="39" spans="4:7" ht="15.75" thickBot="1" x14ac:dyDescent="0.3">
      <c r="D39" s="56" t="s">
        <v>234</v>
      </c>
      <c r="E39" s="15" t="s">
        <v>23</v>
      </c>
      <c r="F39" s="22">
        <f t="shared" ca="1" si="0"/>
        <v>465</v>
      </c>
      <c r="G39" s="123">
        <v>24</v>
      </c>
    </row>
    <row r="40" spans="4:7" ht="15.75" thickBot="1" x14ac:dyDescent="0.3">
      <c r="D40" s="56" t="s">
        <v>234</v>
      </c>
      <c r="E40" s="15" t="s">
        <v>24</v>
      </c>
      <c r="F40" s="22">
        <f t="shared" ca="1" si="0"/>
        <v>203</v>
      </c>
      <c r="G40" s="123">
        <v>25</v>
      </c>
    </row>
    <row r="41" spans="4:7" ht="15.75" thickBot="1" x14ac:dyDescent="0.3">
      <c r="D41" s="56" t="s">
        <v>234</v>
      </c>
      <c r="E41" s="15" t="s">
        <v>25</v>
      </c>
      <c r="F41" s="22">
        <f t="shared" ca="1" si="0"/>
        <v>7673</v>
      </c>
      <c r="G41" s="123">
        <v>26</v>
      </c>
    </row>
    <row r="42" spans="4:7" ht="15.75" thickBot="1" x14ac:dyDescent="0.3">
      <c r="D42" s="57" t="s">
        <v>236</v>
      </c>
      <c r="E42" s="15" t="s">
        <v>26</v>
      </c>
      <c r="F42" s="22">
        <f t="shared" ca="1" si="0"/>
        <v>5360</v>
      </c>
      <c r="G42" s="123">
        <v>27</v>
      </c>
    </row>
    <row r="43" spans="4:7" ht="15.75" thickBot="1" x14ac:dyDescent="0.3">
      <c r="D43" s="57" t="s">
        <v>236</v>
      </c>
      <c r="E43" s="15" t="s">
        <v>200</v>
      </c>
      <c r="F43" s="22">
        <f t="shared" ca="1" si="0"/>
        <v>9216</v>
      </c>
      <c r="G43" s="123">
        <v>28</v>
      </c>
    </row>
    <row r="44" spans="4:7" ht="15.75" thickBot="1" x14ac:dyDescent="0.3">
      <c r="D44" s="57" t="s">
        <v>236</v>
      </c>
      <c r="E44" s="15" t="s">
        <v>27</v>
      </c>
      <c r="F44" s="22">
        <f t="shared" ca="1" si="0"/>
        <v>8855</v>
      </c>
      <c r="G44" s="123">
        <v>29</v>
      </c>
    </row>
    <row r="45" spans="4:7" ht="15.75" thickBot="1" x14ac:dyDescent="0.3">
      <c r="D45" s="57" t="s">
        <v>236</v>
      </c>
      <c r="E45" s="15" t="s">
        <v>28</v>
      </c>
      <c r="F45" s="22">
        <f t="shared" ca="1" si="0"/>
        <v>2460</v>
      </c>
      <c r="G45" s="123">
        <v>30</v>
      </c>
    </row>
    <row r="46" spans="4:7" ht="15.75" thickBot="1" x14ac:dyDescent="0.3">
      <c r="D46" s="57" t="s">
        <v>236</v>
      </c>
      <c r="E46" s="15" t="s">
        <v>29</v>
      </c>
      <c r="F46" s="22">
        <f t="shared" ca="1" si="0"/>
        <v>7902</v>
      </c>
      <c r="G46" s="123">
        <v>31</v>
      </c>
    </row>
    <row r="47" spans="4:7" ht="15.75" thickBot="1" x14ac:dyDescent="0.3">
      <c r="D47" s="57" t="s">
        <v>236</v>
      </c>
      <c r="E47" s="15" t="s">
        <v>30</v>
      </c>
      <c r="F47" s="22">
        <f t="shared" ca="1" si="0"/>
        <v>37140</v>
      </c>
      <c r="G47" s="123">
        <v>32</v>
      </c>
    </row>
    <row r="48" spans="4:7" ht="15.75" thickBot="1" x14ac:dyDescent="0.3">
      <c r="D48" s="57" t="s">
        <v>236</v>
      </c>
      <c r="E48" s="15" t="s">
        <v>31</v>
      </c>
      <c r="F48" s="22">
        <f t="shared" ca="1" si="0"/>
        <v>140327</v>
      </c>
      <c r="G48" s="123">
        <v>33</v>
      </c>
    </row>
    <row r="49" spans="4:7" ht="15.75" thickBot="1" x14ac:dyDescent="0.3">
      <c r="D49" s="57" t="s">
        <v>236</v>
      </c>
      <c r="E49" s="15" t="s">
        <v>32</v>
      </c>
      <c r="F49" s="22">
        <f t="shared" ca="1" si="0"/>
        <v>2350</v>
      </c>
      <c r="G49" s="123">
        <v>34</v>
      </c>
    </row>
    <row r="50" spans="4:7" ht="15.75" thickBot="1" x14ac:dyDescent="0.3">
      <c r="D50" s="57" t="s">
        <v>236</v>
      </c>
      <c r="E50" s="15" t="s">
        <v>33</v>
      </c>
      <c r="F50" s="22">
        <f t="shared" ca="1" si="0"/>
        <v>120</v>
      </c>
      <c r="G50" s="123">
        <v>35</v>
      </c>
    </row>
    <row r="51" spans="4:7" ht="15.75" thickBot="1" x14ac:dyDescent="0.3">
      <c r="D51" s="57" t="s">
        <v>236</v>
      </c>
      <c r="E51" s="15" t="s">
        <v>35</v>
      </c>
      <c r="F51" s="22">
        <f t="shared" ca="1" si="0"/>
        <v>2092</v>
      </c>
      <c r="G51" s="123">
        <v>36</v>
      </c>
    </row>
    <row r="52" spans="4:7" ht="15.75" thickBot="1" x14ac:dyDescent="0.3">
      <c r="D52" s="57" t="s">
        <v>236</v>
      </c>
      <c r="E52" s="15" t="s">
        <v>220</v>
      </c>
      <c r="F52" s="22">
        <f t="shared" ca="1" si="0"/>
        <v>99894</v>
      </c>
      <c r="G52" s="123">
        <v>37</v>
      </c>
    </row>
    <row r="53" spans="4:7" ht="15.75" thickBot="1" x14ac:dyDescent="0.3">
      <c r="D53" s="58" t="s">
        <v>236</v>
      </c>
      <c r="E53" s="47" t="s">
        <v>0</v>
      </c>
      <c r="F53" s="22">
        <f t="shared" ca="1" si="0"/>
        <v>13928</v>
      </c>
      <c r="G53" s="123">
        <v>38</v>
      </c>
    </row>
    <row r="54" spans="4:7" x14ac:dyDescent="0.25">
      <c r="E54" s="8"/>
    </row>
    <row r="55" spans="4:7" s="8" customFormat="1" x14ac:dyDescent="0.25"/>
    <row r="56" spans="4:7" s="8" customFormat="1" x14ac:dyDescent="0.25"/>
    <row r="57" spans="4:7" s="8" customFormat="1" ht="15.75" thickBot="1" x14ac:dyDescent="0.3"/>
    <row r="58" spans="4:7" s="8" customFormat="1" ht="18.75" x14ac:dyDescent="0.3">
      <c r="D58" s="188" t="s">
        <v>363</v>
      </c>
      <c r="E58" s="190"/>
      <c r="F58" s="189"/>
    </row>
    <row r="59" spans="4:7" s="8" customFormat="1" ht="15.75" thickBot="1" x14ac:dyDescent="0.3">
      <c r="D59" s="60" t="s">
        <v>240</v>
      </c>
      <c r="E59" s="43" t="s">
        <v>221</v>
      </c>
      <c r="F59" s="64" t="s">
        <v>364</v>
      </c>
    </row>
    <row r="60" spans="4:7" s="8" customFormat="1" ht="15.75" thickBot="1" x14ac:dyDescent="0.3">
      <c r="D60" s="9" t="s">
        <v>236</v>
      </c>
      <c r="E60" s="15" t="s">
        <v>31</v>
      </c>
      <c r="F60" s="22">
        <f ca="1">$F$48</f>
        <v>140327</v>
      </c>
    </row>
    <row r="61" spans="4:7" s="8" customFormat="1" ht="15.75" thickBot="1" x14ac:dyDescent="0.3">
      <c r="D61" s="9" t="s">
        <v>236</v>
      </c>
      <c r="E61" s="15" t="s">
        <v>220</v>
      </c>
      <c r="F61" s="22">
        <f ca="1">$F$52</f>
        <v>99894</v>
      </c>
    </row>
    <row r="62" spans="4:7" s="8" customFormat="1" ht="15.75" thickBot="1" x14ac:dyDescent="0.3">
      <c r="D62" s="9" t="s">
        <v>234</v>
      </c>
      <c r="E62" s="15" t="s">
        <v>21</v>
      </c>
      <c r="F62" s="22">
        <f ca="1">$F$37</f>
        <v>45760</v>
      </c>
    </row>
    <row r="63" spans="4:7" s="8" customFormat="1" ht="15.75" thickBot="1" x14ac:dyDescent="0.3">
      <c r="D63" s="9" t="s">
        <v>236</v>
      </c>
      <c r="E63" s="15" t="s">
        <v>30</v>
      </c>
      <c r="F63" s="22">
        <f ca="1">$F$47</f>
        <v>37140</v>
      </c>
    </row>
    <row r="64" spans="4:7" s="8" customFormat="1" ht="15.75" thickBot="1" x14ac:dyDescent="0.3">
      <c r="D64" s="9" t="s">
        <v>234</v>
      </c>
      <c r="E64" s="15" t="s">
        <v>22</v>
      </c>
      <c r="F64" s="22">
        <f ca="1">$F$38</f>
        <v>16493</v>
      </c>
    </row>
    <row r="65" spans="4:6" s="8" customFormat="1" ht="15.75" thickBot="1" x14ac:dyDescent="0.3">
      <c r="D65" s="9" t="s">
        <v>236</v>
      </c>
      <c r="E65" s="15" t="s">
        <v>0</v>
      </c>
      <c r="F65" s="22">
        <f ca="1">$F$53</f>
        <v>13928</v>
      </c>
    </row>
    <row r="66" spans="4:6" s="8" customFormat="1" ht="15.75" thickBot="1" x14ac:dyDescent="0.3">
      <c r="D66" s="9" t="s">
        <v>233</v>
      </c>
      <c r="E66" s="15" t="s">
        <v>12</v>
      </c>
      <c r="F66" s="22">
        <f ca="1">$F$27</f>
        <v>11122</v>
      </c>
    </row>
    <row r="67" spans="4:6" s="8" customFormat="1" ht="15.75" thickBot="1" x14ac:dyDescent="0.3">
      <c r="D67" s="9" t="s">
        <v>233</v>
      </c>
      <c r="E67" s="15" t="s">
        <v>11</v>
      </c>
      <c r="F67" s="22">
        <f ca="1">$F$28</f>
        <v>10732</v>
      </c>
    </row>
    <row r="68" spans="4:6" s="8" customFormat="1" ht="15.75" thickBot="1" x14ac:dyDescent="0.3">
      <c r="D68" s="9" t="s">
        <v>236</v>
      </c>
      <c r="E68" s="15" t="s">
        <v>200</v>
      </c>
      <c r="F68" s="22">
        <f ca="1">$F$43</f>
        <v>9216</v>
      </c>
    </row>
    <row r="69" spans="4:6" s="8" customFormat="1" ht="15.75" thickBot="1" x14ac:dyDescent="0.3">
      <c r="D69" s="9" t="s">
        <v>236</v>
      </c>
      <c r="E69" s="15" t="s">
        <v>27</v>
      </c>
      <c r="F69" s="22">
        <f ca="1">$F$44</f>
        <v>8855</v>
      </c>
    </row>
    <row r="70" spans="4:6" s="8" customFormat="1" ht="15.75" thickBot="1" x14ac:dyDescent="0.3">
      <c r="D70" s="9" t="s">
        <v>236</v>
      </c>
      <c r="E70" s="15" t="s">
        <v>29</v>
      </c>
      <c r="F70" s="22">
        <f ca="1">$F$46</f>
        <v>7902</v>
      </c>
    </row>
    <row r="71" spans="4:6" s="8" customFormat="1" ht="15.75" thickBot="1" x14ac:dyDescent="0.3">
      <c r="D71" s="9" t="s">
        <v>234</v>
      </c>
      <c r="E71" s="15" t="s">
        <v>25</v>
      </c>
      <c r="F71" s="22">
        <f ca="1">$F$41</f>
        <v>7673</v>
      </c>
    </row>
    <row r="72" spans="4:6" s="8" customFormat="1" ht="15.75" thickBot="1" x14ac:dyDescent="0.3">
      <c r="D72" s="9" t="s">
        <v>234</v>
      </c>
      <c r="E72" s="15" t="s">
        <v>20</v>
      </c>
      <c r="F72" s="22">
        <f ca="1">$F$36</f>
        <v>5692</v>
      </c>
    </row>
    <row r="73" spans="4:6" s="8" customFormat="1" ht="15.75" thickBot="1" x14ac:dyDescent="0.3">
      <c r="D73" s="9" t="s">
        <v>236</v>
      </c>
      <c r="E73" s="15" t="s">
        <v>26</v>
      </c>
      <c r="F73" s="22">
        <f ca="1">$F$42</f>
        <v>5360</v>
      </c>
    </row>
    <row r="74" spans="4:6" s="8" customFormat="1" ht="15.75" thickBot="1" x14ac:dyDescent="0.3">
      <c r="D74" s="9" t="s">
        <v>233</v>
      </c>
      <c r="E74" s="15" t="s">
        <v>5</v>
      </c>
      <c r="F74" s="22">
        <f ca="1">$F$22</f>
        <v>3193</v>
      </c>
    </row>
    <row r="75" spans="4:6" s="8" customFormat="1" ht="15.75" thickBot="1" x14ac:dyDescent="0.3">
      <c r="D75" s="9" t="s">
        <v>233</v>
      </c>
      <c r="E75" s="15" t="s">
        <v>2</v>
      </c>
      <c r="F75" s="22">
        <f ca="1">$F$19</f>
        <v>2604</v>
      </c>
    </row>
    <row r="76" spans="4:6" s="8" customFormat="1" ht="15.75" thickBot="1" x14ac:dyDescent="0.3">
      <c r="D76" s="9" t="s">
        <v>236</v>
      </c>
      <c r="E76" s="15" t="s">
        <v>28</v>
      </c>
      <c r="F76" s="22">
        <f ca="1">$F$45</f>
        <v>2460</v>
      </c>
    </row>
    <row r="77" spans="4:6" s="8" customFormat="1" ht="15.75" thickBot="1" x14ac:dyDescent="0.3">
      <c r="D77" s="9" t="s">
        <v>235</v>
      </c>
      <c r="E77" s="15" t="s">
        <v>13</v>
      </c>
      <c r="F77" s="22">
        <f ca="1">$F$30</f>
        <v>2390.5</v>
      </c>
    </row>
    <row r="78" spans="4:6" s="8" customFormat="1" ht="15.75" thickBot="1" x14ac:dyDescent="0.3">
      <c r="D78" s="9" t="s">
        <v>236</v>
      </c>
      <c r="E78" s="15" t="s">
        <v>32</v>
      </c>
      <c r="F78" s="22">
        <f ca="1">$F$49</f>
        <v>2350</v>
      </c>
    </row>
    <row r="79" spans="4:6" s="8" customFormat="1" ht="15.75" thickBot="1" x14ac:dyDescent="0.3">
      <c r="D79" s="9" t="s">
        <v>236</v>
      </c>
      <c r="E79" s="15" t="s">
        <v>35</v>
      </c>
      <c r="F79" s="22">
        <f ca="1">$F$51</f>
        <v>2092</v>
      </c>
    </row>
    <row r="80" spans="4:6" s="8" customFormat="1" ht="15.75" thickBot="1" x14ac:dyDescent="0.3">
      <c r="D80" s="9" t="s">
        <v>233</v>
      </c>
      <c r="E80" s="15" t="s">
        <v>4</v>
      </c>
      <c r="F80" s="22">
        <f ca="1">$F$21</f>
        <v>1309</v>
      </c>
    </row>
    <row r="81" spans="4:6" s="8" customFormat="1" ht="15.75" thickBot="1" x14ac:dyDescent="0.3">
      <c r="D81" s="9" t="s">
        <v>233</v>
      </c>
      <c r="E81" s="15" t="s">
        <v>3</v>
      </c>
      <c r="F81" s="22">
        <f ca="1">$F$20</f>
        <v>1270</v>
      </c>
    </row>
    <row r="82" spans="4:6" s="8" customFormat="1" ht="15.75" thickBot="1" x14ac:dyDescent="0.3">
      <c r="D82" s="9" t="s">
        <v>233</v>
      </c>
      <c r="E82" s="15" t="s">
        <v>19</v>
      </c>
      <c r="F82" s="22">
        <f ca="1">$F$29</f>
        <v>1006</v>
      </c>
    </row>
    <row r="83" spans="4:6" s="8" customFormat="1" ht="15.75" thickBot="1" x14ac:dyDescent="0.3">
      <c r="D83" s="9" t="s">
        <v>235</v>
      </c>
      <c r="E83" s="15" t="s">
        <v>15</v>
      </c>
      <c r="F83" s="22">
        <f ca="1">$F$31</f>
        <v>813</v>
      </c>
    </row>
    <row r="84" spans="4:6" s="8" customFormat="1" ht="15.75" thickBot="1" x14ac:dyDescent="0.3">
      <c r="D84" s="9" t="s">
        <v>234</v>
      </c>
      <c r="E84" s="15" t="s">
        <v>23</v>
      </c>
      <c r="F84" s="22">
        <f ca="1">$F$39</f>
        <v>465</v>
      </c>
    </row>
    <row r="85" spans="4:6" s="8" customFormat="1" ht="15.75" thickBot="1" x14ac:dyDescent="0.3">
      <c r="D85" s="9" t="s">
        <v>233</v>
      </c>
      <c r="E85" s="15" t="s">
        <v>7</v>
      </c>
      <c r="F85" s="22">
        <f ca="1">$F$23</f>
        <v>330</v>
      </c>
    </row>
    <row r="86" spans="4:6" s="8" customFormat="1" ht="15.75" thickBot="1" x14ac:dyDescent="0.3">
      <c r="D86" s="9" t="s">
        <v>235</v>
      </c>
      <c r="E86" s="15" t="s">
        <v>18</v>
      </c>
      <c r="F86" s="22">
        <f ca="1">$F$35</f>
        <v>230</v>
      </c>
    </row>
    <row r="87" spans="4:6" s="8" customFormat="1" ht="15.75" thickBot="1" x14ac:dyDescent="0.3">
      <c r="D87" s="9" t="s">
        <v>234</v>
      </c>
      <c r="E87" s="15" t="s">
        <v>24</v>
      </c>
      <c r="F87" s="22">
        <f ca="1">$F$40</f>
        <v>203</v>
      </c>
    </row>
    <row r="88" spans="4:6" s="8" customFormat="1" ht="15.75" thickBot="1" x14ac:dyDescent="0.3">
      <c r="D88" s="9" t="s">
        <v>235</v>
      </c>
      <c r="E88" s="15" t="s">
        <v>17</v>
      </c>
      <c r="F88" s="22">
        <f ca="1">$F$33</f>
        <v>178</v>
      </c>
    </row>
    <row r="89" spans="4:6" s="8" customFormat="1" ht="15.75" thickBot="1" x14ac:dyDescent="0.3">
      <c r="D89" s="9" t="s">
        <v>236</v>
      </c>
      <c r="E89" s="15" t="s">
        <v>33</v>
      </c>
      <c r="F89" s="22">
        <f ca="1">$F$50</f>
        <v>120</v>
      </c>
    </row>
    <row r="90" spans="4:6" s="8" customFormat="1" ht="15.75" thickBot="1" x14ac:dyDescent="0.3">
      <c r="D90" s="9" t="s">
        <v>233</v>
      </c>
      <c r="E90" s="15" t="s">
        <v>10</v>
      </c>
      <c r="F90" s="22">
        <f ca="1">$F$26</f>
        <v>102</v>
      </c>
    </row>
    <row r="91" spans="4:6" s="8" customFormat="1" ht="15.75" thickBot="1" x14ac:dyDescent="0.3">
      <c r="D91" s="9" t="s">
        <v>233</v>
      </c>
      <c r="E91" s="15" t="s">
        <v>1</v>
      </c>
      <c r="F91" s="22">
        <f ca="1">$F$18</f>
        <v>76</v>
      </c>
    </row>
    <row r="92" spans="4:6" s="8" customFormat="1" ht="15.75" thickBot="1" x14ac:dyDescent="0.3">
      <c r="D92" s="9" t="s">
        <v>233</v>
      </c>
      <c r="E92" s="15" t="s">
        <v>8</v>
      </c>
      <c r="F92" s="22">
        <f ca="1">$F$24</f>
        <v>43</v>
      </c>
    </row>
    <row r="93" spans="4:6" s="8" customFormat="1" ht="15.75" thickBot="1" x14ac:dyDescent="0.3">
      <c r="D93" s="9" t="s">
        <v>233</v>
      </c>
      <c r="E93" s="15" t="s">
        <v>219</v>
      </c>
      <c r="F93" s="22">
        <f ca="1">$F$17</f>
        <v>10</v>
      </c>
    </row>
    <row r="94" spans="4:6" s="8" customFormat="1" ht="15.75" thickBot="1" x14ac:dyDescent="0.3">
      <c r="D94" s="9" t="s">
        <v>235</v>
      </c>
      <c r="E94" s="15" t="s">
        <v>187</v>
      </c>
      <c r="F94" s="22">
        <f ca="1">$F$34</f>
        <v>8</v>
      </c>
    </row>
    <row r="95" spans="4:6" s="8" customFormat="1" ht="15.75" thickBot="1" x14ac:dyDescent="0.3">
      <c r="D95" s="9" t="s">
        <v>233</v>
      </c>
      <c r="E95" s="38" t="s">
        <v>9</v>
      </c>
      <c r="F95" s="22">
        <f ca="1">$F$25</f>
        <v>6</v>
      </c>
    </row>
    <row r="96" spans="4:6" s="8" customFormat="1" ht="15.75" thickBot="1" x14ac:dyDescent="0.3">
      <c r="D96" s="17" t="s">
        <v>235</v>
      </c>
      <c r="E96" s="47" t="s">
        <v>16</v>
      </c>
      <c r="F96" s="18">
        <f ca="1">$F$32</f>
        <v>1</v>
      </c>
    </row>
    <row r="97" spans="4:10" s="8" customFormat="1" x14ac:dyDescent="0.25"/>
    <row r="98" spans="4:10" s="8" customFormat="1" x14ac:dyDescent="0.25"/>
    <row r="99" spans="4:10" s="8" customFormat="1" x14ac:dyDescent="0.25"/>
    <row r="100" spans="4:10" ht="15.75" thickBot="1" x14ac:dyDescent="0.3">
      <c r="I100" s="8" t="s">
        <v>146</v>
      </c>
    </row>
    <row r="101" spans="4:10" ht="19.5" thickBot="1" x14ac:dyDescent="0.35">
      <c r="E101" s="192" t="s">
        <v>391</v>
      </c>
      <c r="F101" s="193"/>
      <c r="G101" s="193"/>
      <c r="H101" s="193"/>
      <c r="I101" s="194"/>
    </row>
    <row r="102" spans="4:10" ht="15.75" thickBot="1" x14ac:dyDescent="0.3">
      <c r="D102" s="43" t="s">
        <v>240</v>
      </c>
      <c r="E102" s="71" t="s">
        <v>221</v>
      </c>
      <c r="F102" s="107" t="s">
        <v>365</v>
      </c>
      <c r="G102" s="108" t="s">
        <v>366</v>
      </c>
      <c r="H102" s="108" t="s">
        <v>228</v>
      </c>
      <c r="I102" s="108" t="s">
        <v>401</v>
      </c>
    </row>
    <row r="103" spans="4:10" ht="15.75" thickBot="1" x14ac:dyDescent="0.3">
      <c r="E103" s="15" t="str">
        <f t="shared" ref="E103:E139" si="1">E60</f>
        <v>Electricity storage</v>
      </c>
      <c r="F103" s="18"/>
      <c r="G103" s="14"/>
      <c r="H103" s="14"/>
      <c r="I103" s="22"/>
      <c r="J103" s="8"/>
    </row>
    <row r="104" spans="4:10" ht="15.75" thickBot="1" x14ac:dyDescent="0.3">
      <c r="E104" s="15" t="str">
        <f t="shared" si="1"/>
        <v>Energy Efficiency</v>
      </c>
      <c r="F104" s="18"/>
      <c r="G104" s="14"/>
      <c r="H104" s="14"/>
      <c r="I104" s="22"/>
      <c r="J104" s="8"/>
    </row>
    <row r="105" spans="4:10" ht="15.75" thickBot="1" x14ac:dyDescent="0.3">
      <c r="E105" s="15" t="str">
        <f t="shared" si="1"/>
        <v>Regional interconnection</v>
      </c>
      <c r="F105" s="18"/>
      <c r="G105" s="14"/>
      <c r="H105" s="14"/>
      <c r="I105" s="22"/>
      <c r="J105" s="8"/>
    </row>
    <row r="106" spans="4:10" ht="15.75" thickBot="1" x14ac:dyDescent="0.3">
      <c r="E106" s="15" t="str">
        <f t="shared" si="1"/>
        <v>Future mobility</v>
      </c>
      <c r="F106" s="18"/>
      <c r="G106" s="14"/>
      <c r="H106" s="14"/>
      <c r="I106" s="22"/>
      <c r="J106" s="8"/>
    </row>
    <row r="107" spans="4:10" ht="15.75" thickBot="1" x14ac:dyDescent="0.3">
      <c r="E107" s="15" t="str">
        <f t="shared" si="1"/>
        <v>Business cycle</v>
      </c>
      <c r="F107" s="18"/>
      <c r="G107" s="14"/>
      <c r="H107" s="14"/>
      <c r="I107" s="22"/>
      <c r="J107" s="8"/>
    </row>
    <row r="108" spans="4:10" ht="15.75" thickBot="1" x14ac:dyDescent="0.3">
      <c r="D108" s="8" t="str">
        <f t="shared" ref="D108:D139" si="2">D65</f>
        <v>Vision &amp; technology</v>
      </c>
      <c r="E108" s="15" t="str">
        <f t="shared" si="1"/>
        <v>Nuclear energy</v>
      </c>
      <c r="F108" s="18">
        <f t="shared" ref="F108:F134" ca="1" si="3">F65</f>
        <v>13928</v>
      </c>
      <c r="G108" s="68">
        <f t="shared" ref="G108:G134" ca="1" si="4">F108/$F$141</f>
        <v>1</v>
      </c>
      <c r="H108" s="85">
        <f t="shared" ref="H108:H134" ca="1" si="5">100%-G108</f>
        <v>0</v>
      </c>
      <c r="I108" s="86">
        <f ca="1">((H108*4)/100%)+4</f>
        <v>4</v>
      </c>
    </row>
    <row r="109" spans="4:10" ht="15.75" thickBot="1" x14ac:dyDescent="0.3">
      <c r="D109" s="8" t="str">
        <f t="shared" si="2"/>
        <v>Macroeconomic</v>
      </c>
      <c r="E109" s="15" t="str">
        <f t="shared" si="1"/>
        <v xml:space="preserve">Energy affordability </v>
      </c>
      <c r="F109" s="18">
        <f t="shared" ca="1" si="3"/>
        <v>11122</v>
      </c>
      <c r="G109" s="68">
        <f t="shared" ca="1" si="4"/>
        <v>0.7985353245261344</v>
      </c>
      <c r="H109" s="85">
        <f t="shared" ca="1" si="5"/>
        <v>0.2014646754738656</v>
      </c>
      <c r="I109" s="86">
        <f t="shared" ref="I109:I134" ca="1" si="6">((H109*4)/100%)+4</f>
        <v>4.8058587018954624</v>
      </c>
    </row>
    <row r="110" spans="4:10" ht="15.75" thickBot="1" x14ac:dyDescent="0.3">
      <c r="D110" s="8" t="str">
        <f t="shared" si="2"/>
        <v>Macroeconomic</v>
      </c>
      <c r="E110" s="15" t="str">
        <f t="shared" si="1"/>
        <v>Corruption</v>
      </c>
      <c r="F110" s="18">
        <f t="shared" ca="1" si="3"/>
        <v>10732</v>
      </c>
      <c r="G110" s="68">
        <f t="shared" ca="1" si="4"/>
        <v>0.77053417576105687</v>
      </c>
      <c r="H110" s="85">
        <f t="shared" ca="1" si="5"/>
        <v>0.22946582423894313</v>
      </c>
      <c r="I110" s="86">
        <f t="shared" ca="1" si="6"/>
        <v>4.9178632969557725</v>
      </c>
    </row>
    <row r="111" spans="4:10" ht="15.75" thickBot="1" x14ac:dyDescent="0.3">
      <c r="D111" s="8" t="str">
        <f t="shared" si="2"/>
        <v>Vision &amp; technology</v>
      </c>
      <c r="E111" s="15" t="str">
        <f t="shared" si="1"/>
        <v>Carbon capture, utilisation &amp; storage (CCUS)</v>
      </c>
      <c r="F111" s="18">
        <f t="shared" ca="1" si="3"/>
        <v>9216</v>
      </c>
      <c r="G111" s="68">
        <f t="shared" ca="1" si="4"/>
        <v>0.66168868466398623</v>
      </c>
      <c r="H111" s="85">
        <f t="shared" ca="1" si="5"/>
        <v>0.33831131533601377</v>
      </c>
      <c r="I111" s="86">
        <f t="shared" ca="1" si="6"/>
        <v>5.3532452613440551</v>
      </c>
    </row>
    <row r="112" spans="4:10" ht="15.75" thickBot="1" x14ac:dyDescent="0.3">
      <c r="D112" s="8" t="str">
        <f t="shared" si="2"/>
        <v>Vision &amp; technology</v>
      </c>
      <c r="E112" s="15" t="str">
        <f t="shared" si="1"/>
        <v>Renewable energy</v>
      </c>
      <c r="F112" s="18">
        <f t="shared" ca="1" si="3"/>
        <v>8855</v>
      </c>
      <c r="G112" s="68">
        <f t="shared" ca="1" si="4"/>
        <v>0.63576967260195294</v>
      </c>
      <c r="H112" s="85">
        <f t="shared" ca="1" si="5"/>
        <v>0.36423032739804706</v>
      </c>
      <c r="I112" s="86">
        <f t="shared" ca="1" si="6"/>
        <v>5.4569213095921878</v>
      </c>
    </row>
    <row r="113" spans="4:9" ht="15.75" thickBot="1" x14ac:dyDescent="0.3">
      <c r="D113" s="8" t="str">
        <f t="shared" si="2"/>
        <v>Vision &amp; technology</v>
      </c>
      <c r="E113" s="15" t="str">
        <f t="shared" si="1"/>
        <v>Smart grids</v>
      </c>
      <c r="F113" s="18">
        <f t="shared" ca="1" si="3"/>
        <v>7902</v>
      </c>
      <c r="G113" s="68">
        <f t="shared" ca="1" si="4"/>
        <v>0.56734635267087885</v>
      </c>
      <c r="H113" s="85">
        <f t="shared" ca="1" si="5"/>
        <v>0.43265364732912115</v>
      </c>
      <c r="I113" s="86">
        <f t="shared" ca="1" si="6"/>
        <v>5.7306145893164846</v>
      </c>
    </row>
    <row r="114" spans="4:9" ht="15.75" thickBot="1" x14ac:dyDescent="0.3">
      <c r="D114" s="8" t="str">
        <f t="shared" si="2"/>
        <v>Business environment</v>
      </c>
      <c r="E114" s="15" t="str">
        <f t="shared" si="1"/>
        <v>New market players</v>
      </c>
      <c r="F114" s="18">
        <f t="shared" ca="1" si="3"/>
        <v>7673</v>
      </c>
      <c r="G114" s="68">
        <f t="shared" ca="1" si="4"/>
        <v>0.55090465249856402</v>
      </c>
      <c r="H114" s="85">
        <f t="shared" ca="1" si="5"/>
        <v>0.44909534750143598</v>
      </c>
      <c r="I114" s="86">
        <f t="shared" ca="1" si="6"/>
        <v>5.7963813900057435</v>
      </c>
    </row>
    <row r="115" spans="4:9" ht="15.75" thickBot="1" x14ac:dyDescent="0.3">
      <c r="D115" s="8" t="str">
        <f t="shared" si="2"/>
        <v>Business environment</v>
      </c>
      <c r="E115" s="15" t="str">
        <f t="shared" si="1"/>
        <v>Trade barriers</v>
      </c>
      <c r="F115" s="18">
        <f t="shared" ca="1" si="3"/>
        <v>5692</v>
      </c>
      <c r="G115" s="68">
        <f t="shared" ca="1" si="4"/>
        <v>0.40867317633543943</v>
      </c>
      <c r="H115" s="85">
        <f t="shared" ca="1" si="5"/>
        <v>0.59132682366456057</v>
      </c>
      <c r="I115" s="86">
        <f t="shared" ca="1" si="6"/>
        <v>6.3653072946582423</v>
      </c>
    </row>
    <row r="116" spans="4:9" ht="15.75" thickBot="1" x14ac:dyDescent="0.3">
      <c r="D116" s="8" t="str">
        <f t="shared" si="2"/>
        <v>Vision &amp; technology</v>
      </c>
      <c r="E116" s="15" t="str">
        <f t="shared" si="1"/>
        <v>Sustainable cities</v>
      </c>
      <c r="F116" s="18">
        <f t="shared" ca="1" si="3"/>
        <v>5360</v>
      </c>
      <c r="G116" s="68">
        <f t="shared" ca="1" si="4"/>
        <v>0.38483630097645033</v>
      </c>
      <c r="H116" s="85">
        <f t="shared" ca="1" si="5"/>
        <v>0.61516369902354961</v>
      </c>
      <c r="I116" s="86">
        <f t="shared" ca="1" si="6"/>
        <v>6.4606547960941985</v>
      </c>
    </row>
    <row r="117" spans="4:9" ht="15.75" thickBot="1" x14ac:dyDescent="0.3">
      <c r="D117" s="8" t="str">
        <f t="shared" si="2"/>
        <v>Macroeconomic</v>
      </c>
      <c r="E117" s="15" t="str">
        <f t="shared" si="1"/>
        <v>Energy prices &amp; volatility</v>
      </c>
      <c r="F117" s="18">
        <f t="shared" ca="1" si="3"/>
        <v>3193</v>
      </c>
      <c r="G117" s="68">
        <f t="shared" ca="1" si="4"/>
        <v>0.22925043078690407</v>
      </c>
      <c r="H117" s="85">
        <f t="shared" ca="1" si="5"/>
        <v>0.7707495692130959</v>
      </c>
      <c r="I117" s="86">
        <f t="shared" ca="1" si="6"/>
        <v>7.0829982768523836</v>
      </c>
    </row>
    <row r="118" spans="4:9" ht="15.75" thickBot="1" x14ac:dyDescent="0.3">
      <c r="D118" s="8" t="str">
        <f t="shared" si="2"/>
        <v>Macroeconomic</v>
      </c>
      <c r="E118" s="15" t="str">
        <f t="shared" si="1"/>
        <v>Large scale accidents</v>
      </c>
      <c r="F118" s="18">
        <f t="shared" ca="1" si="3"/>
        <v>2604</v>
      </c>
      <c r="G118" s="68">
        <f t="shared" ca="1" si="4"/>
        <v>0.18696151636990235</v>
      </c>
      <c r="H118" s="85">
        <f t="shared" ca="1" si="5"/>
        <v>0.81303848363009767</v>
      </c>
      <c r="I118" s="86">
        <f t="shared" ca="1" si="6"/>
        <v>7.2521539345203907</v>
      </c>
    </row>
    <row r="119" spans="4:9" ht="15.75" thickBot="1" x14ac:dyDescent="0.3">
      <c r="D119" s="8" t="str">
        <f t="shared" si="2"/>
        <v>Vision &amp; technology</v>
      </c>
      <c r="E119" s="15" t="str">
        <f t="shared" si="1"/>
        <v>Biofuels</v>
      </c>
      <c r="F119" s="18">
        <f t="shared" ca="1" si="3"/>
        <v>2460</v>
      </c>
      <c r="G119" s="68">
        <f t="shared" ca="1" si="4"/>
        <v>0.17662263067202758</v>
      </c>
      <c r="H119" s="85">
        <f t="shared" ca="1" si="5"/>
        <v>0.82337736932797245</v>
      </c>
      <c r="I119" s="86">
        <f t="shared" ca="1" si="6"/>
        <v>7.2935094773118898</v>
      </c>
    </row>
    <row r="120" spans="4:9" ht="15.75" thickBot="1" x14ac:dyDescent="0.3">
      <c r="D120" s="8" t="str">
        <f t="shared" si="2"/>
        <v>Geopolitics &amp; regional</v>
      </c>
      <c r="E120" s="15" t="str">
        <f t="shared" si="1"/>
        <v>India growth</v>
      </c>
      <c r="F120" s="18">
        <f t="shared" ca="1" si="3"/>
        <v>2390.5</v>
      </c>
      <c r="G120" s="68">
        <f t="shared" ca="1" si="4"/>
        <v>0.17163268236645607</v>
      </c>
      <c r="H120" s="85">
        <f t="shared" ca="1" si="5"/>
        <v>0.82836731763354399</v>
      </c>
      <c r="I120" s="86">
        <f t="shared" ca="1" si="6"/>
        <v>7.3134692705341759</v>
      </c>
    </row>
    <row r="121" spans="4:9" ht="15.75" thickBot="1" x14ac:dyDescent="0.3">
      <c r="D121" s="8" t="str">
        <f t="shared" si="2"/>
        <v>Vision &amp; technology</v>
      </c>
      <c r="E121" s="15" t="str">
        <f t="shared" si="1"/>
        <v>Hydro power</v>
      </c>
      <c r="F121" s="18">
        <f t="shared" ca="1" si="3"/>
        <v>2350</v>
      </c>
      <c r="G121" s="68">
        <f t="shared" ca="1" si="4"/>
        <v>0.16872487076392878</v>
      </c>
      <c r="H121" s="85">
        <f t="shared" ca="1" si="5"/>
        <v>0.83127512923607116</v>
      </c>
      <c r="I121" s="86">
        <f t="shared" ca="1" si="6"/>
        <v>7.3251005169442847</v>
      </c>
    </row>
    <row r="122" spans="4:9" ht="15.75" thickBot="1" x14ac:dyDescent="0.3">
      <c r="D122" s="8" t="str">
        <f t="shared" si="2"/>
        <v>Vision &amp; technology</v>
      </c>
      <c r="E122" s="15" t="str">
        <f t="shared" si="1"/>
        <v>Hydrogen economy</v>
      </c>
      <c r="F122" s="18">
        <f t="shared" ca="1" si="3"/>
        <v>2092</v>
      </c>
      <c r="G122" s="68">
        <f t="shared" ca="1" si="4"/>
        <v>0.15020103388856978</v>
      </c>
      <c r="H122" s="85">
        <f t="shared" ca="1" si="5"/>
        <v>0.84979896611143024</v>
      </c>
      <c r="I122" s="86">
        <f t="shared" ca="1" si="6"/>
        <v>7.399195864445721</v>
      </c>
    </row>
    <row r="123" spans="4:9" ht="15.75" thickBot="1" x14ac:dyDescent="0.3">
      <c r="D123" s="8" t="str">
        <f t="shared" si="2"/>
        <v>Macroeconomic</v>
      </c>
      <c r="E123" s="15" t="str">
        <f t="shared" si="1"/>
        <v>Commodity prices &amp; volatility</v>
      </c>
      <c r="F123" s="18">
        <f t="shared" ca="1" si="3"/>
        <v>1309</v>
      </c>
      <c r="G123" s="68">
        <f t="shared" ca="1" si="4"/>
        <v>9.3983342906375653E-2</v>
      </c>
      <c r="H123" s="85">
        <f t="shared" ca="1" si="5"/>
        <v>0.90601665709362433</v>
      </c>
      <c r="I123" s="86">
        <f t="shared" ca="1" si="6"/>
        <v>7.6240666283744973</v>
      </c>
    </row>
    <row r="124" spans="4:9" ht="15.75" thickBot="1" x14ac:dyDescent="0.3">
      <c r="D124" s="8" t="str">
        <f t="shared" si="2"/>
        <v>Macroeconomic</v>
      </c>
      <c r="E124" s="15" t="str">
        <f t="shared" si="1"/>
        <v>Capital market constraints</v>
      </c>
      <c r="F124" s="18">
        <f t="shared" ca="1" si="3"/>
        <v>1270</v>
      </c>
      <c r="G124" s="68">
        <f t="shared" ca="1" si="4"/>
        <v>9.1183228029867891E-2</v>
      </c>
      <c r="H124" s="85">
        <f t="shared" ca="1" si="5"/>
        <v>0.90881677197013211</v>
      </c>
      <c r="I124" s="86">
        <f t="shared" ca="1" si="6"/>
        <v>7.6352670878805284</v>
      </c>
    </row>
    <row r="125" spans="4:9" ht="15.75" thickBot="1" x14ac:dyDescent="0.3">
      <c r="D125" s="8" t="str">
        <f t="shared" si="2"/>
        <v>Macroeconomic</v>
      </c>
      <c r="E125" s="15" t="str">
        <f t="shared" si="1"/>
        <v>Terrorism</v>
      </c>
      <c r="F125" s="18">
        <f t="shared" ca="1" si="3"/>
        <v>1006</v>
      </c>
      <c r="G125" s="68">
        <f t="shared" ca="1" si="4"/>
        <v>7.2228604250430789E-2</v>
      </c>
      <c r="H125" s="85">
        <f t="shared" ca="1" si="5"/>
        <v>0.92777139574956924</v>
      </c>
      <c r="I125" s="86">
        <f t="shared" ca="1" si="6"/>
        <v>7.711085582998277</v>
      </c>
    </row>
    <row r="126" spans="4:9" ht="15.75" thickBot="1" x14ac:dyDescent="0.3">
      <c r="D126" s="8" t="str">
        <f t="shared" si="2"/>
        <v>Geopolitics &amp; regional</v>
      </c>
      <c r="E126" s="15" t="str">
        <f t="shared" si="1"/>
        <v>Brazil growth</v>
      </c>
      <c r="F126" s="18">
        <f t="shared" ca="1" si="3"/>
        <v>813</v>
      </c>
      <c r="G126" s="68">
        <f t="shared" ca="1" si="4"/>
        <v>5.837162550258472E-2</v>
      </c>
      <c r="H126" s="85">
        <f t="shared" ca="1" si="5"/>
        <v>0.94162837449741532</v>
      </c>
      <c r="I126" s="86">
        <f t="shared" ca="1" si="6"/>
        <v>7.7665134979896617</v>
      </c>
    </row>
    <row r="127" spans="4:9" ht="15.75" thickBot="1" x14ac:dyDescent="0.3">
      <c r="D127" s="8" t="str">
        <f t="shared" si="2"/>
        <v>Business environment</v>
      </c>
      <c r="E127" s="15" t="str">
        <f t="shared" si="1"/>
        <v>Innovative market design &amp; policies</v>
      </c>
      <c r="F127" s="18">
        <f t="shared" ca="1" si="3"/>
        <v>465</v>
      </c>
      <c r="G127" s="68">
        <f t="shared" ca="1" si="4"/>
        <v>3.3385985066053989E-2</v>
      </c>
      <c r="H127" s="85">
        <f t="shared" ca="1" si="5"/>
        <v>0.96661401493394605</v>
      </c>
      <c r="I127" s="86">
        <f t="shared" ca="1" si="6"/>
        <v>7.8664560597357838</v>
      </c>
    </row>
    <row r="128" spans="4:9" ht="15.75" thickBot="1" x14ac:dyDescent="0.3">
      <c r="D128" s="8" t="str">
        <f t="shared" si="2"/>
        <v>Macroeconomic</v>
      </c>
      <c r="E128" s="15" t="str">
        <f t="shared" si="1"/>
        <v>Currency uncertainty</v>
      </c>
      <c r="F128" s="18">
        <f t="shared" ca="1" si="3"/>
        <v>330</v>
      </c>
      <c r="G128" s="68">
        <f t="shared" ca="1" si="4"/>
        <v>2.3693279724296381E-2</v>
      </c>
      <c r="H128" s="85">
        <f t="shared" ca="1" si="5"/>
        <v>0.97630672027570364</v>
      </c>
      <c r="I128" s="86">
        <f t="shared" ca="1" si="6"/>
        <v>7.9052268811028146</v>
      </c>
    </row>
    <row r="129" spans="4:10" ht="15.75" thickBot="1" x14ac:dyDescent="0.3">
      <c r="D129" s="8" t="str">
        <f t="shared" si="2"/>
        <v>Geopolitics &amp; regional</v>
      </c>
      <c r="E129" s="15" t="str">
        <f t="shared" si="1"/>
        <v>US trade and policy influencing global energy markets</v>
      </c>
      <c r="F129" s="18">
        <f t="shared" ca="1" si="3"/>
        <v>230</v>
      </c>
      <c r="G129" s="68">
        <f t="shared" ca="1" si="4"/>
        <v>1.6513497989661115E-2</v>
      </c>
      <c r="H129" s="85">
        <f t="shared" ca="1" si="5"/>
        <v>0.98348650201033894</v>
      </c>
      <c r="I129" s="86">
        <f t="shared" ca="1" si="6"/>
        <v>7.9339460080413557</v>
      </c>
    </row>
    <row r="130" spans="4:10" ht="15.75" thickBot="1" x14ac:dyDescent="0.3">
      <c r="D130" s="8" t="str">
        <f t="shared" si="2"/>
        <v>Business environment</v>
      </c>
      <c r="E130" s="15" t="str">
        <f t="shared" si="1"/>
        <v>Energy subsidies</v>
      </c>
      <c r="F130" s="18">
        <f t="shared" ca="1" si="3"/>
        <v>203</v>
      </c>
      <c r="G130" s="68">
        <f t="shared" ca="1" si="4"/>
        <v>1.4574956921309593E-2</v>
      </c>
      <c r="H130" s="85">
        <f t="shared" ca="1" si="5"/>
        <v>0.98542504307869039</v>
      </c>
      <c r="I130" s="86">
        <f t="shared" ca="1" si="6"/>
        <v>7.9417001723147616</v>
      </c>
    </row>
    <row r="131" spans="4:10" ht="15.75" thickBot="1" x14ac:dyDescent="0.3">
      <c r="D131" s="8" t="str">
        <f t="shared" si="2"/>
        <v>Geopolitics &amp; regional</v>
      </c>
      <c r="E131" s="15" t="str">
        <f t="shared" si="1"/>
        <v>EU cohesion</v>
      </c>
      <c r="F131" s="18">
        <f t="shared" ca="1" si="3"/>
        <v>178</v>
      </c>
      <c r="G131" s="68">
        <f t="shared" ca="1" si="4"/>
        <v>1.2780011487650775E-2</v>
      </c>
      <c r="H131" s="85">
        <f t="shared" ca="1" si="5"/>
        <v>0.98721998851234927</v>
      </c>
      <c r="I131" s="86">
        <f t="shared" ca="1" si="6"/>
        <v>7.9488799540493975</v>
      </c>
    </row>
    <row r="132" spans="4:10" ht="15.75" thickBot="1" x14ac:dyDescent="0.3">
      <c r="D132" s="8" t="str">
        <f t="shared" si="2"/>
        <v>Vision &amp; technology</v>
      </c>
      <c r="E132" s="15" t="str">
        <f t="shared" si="1"/>
        <v>Unconventional fossil fuels</v>
      </c>
      <c r="F132" s="18">
        <f t="shared" ca="1" si="3"/>
        <v>120</v>
      </c>
      <c r="G132" s="68">
        <f t="shared" ca="1" si="4"/>
        <v>8.6157380815623207E-3</v>
      </c>
      <c r="H132" s="85">
        <f t="shared" ca="1" si="5"/>
        <v>0.99138426191843765</v>
      </c>
      <c r="I132" s="86">
        <f t="shared" ca="1" si="6"/>
        <v>7.9655370476737506</v>
      </c>
    </row>
    <row r="133" spans="4:10" ht="15.75" thickBot="1" x14ac:dyDescent="0.3">
      <c r="D133" s="8" t="str">
        <f t="shared" si="2"/>
        <v>Macroeconomic</v>
      </c>
      <c r="E133" s="15" t="str">
        <f t="shared" si="1"/>
        <v>Energy poverty</v>
      </c>
      <c r="F133" s="18">
        <f t="shared" ca="1" si="3"/>
        <v>102</v>
      </c>
      <c r="G133" s="68">
        <f t="shared" ca="1" si="4"/>
        <v>7.3233773693279726E-3</v>
      </c>
      <c r="H133" s="85">
        <f t="shared" ca="1" si="5"/>
        <v>0.99267662263067202</v>
      </c>
      <c r="I133" s="86">
        <f t="shared" ca="1" si="6"/>
        <v>7.9707064905226881</v>
      </c>
    </row>
    <row r="134" spans="4:10" ht="15.75" thickBot="1" x14ac:dyDescent="0.3">
      <c r="D134" s="8" t="str">
        <f t="shared" si="2"/>
        <v>Macroeconomic</v>
      </c>
      <c r="E134" s="15" t="str">
        <f t="shared" si="1"/>
        <v>Global climate framework uncertainty</v>
      </c>
      <c r="F134" s="18">
        <f t="shared" ca="1" si="3"/>
        <v>76</v>
      </c>
      <c r="G134" s="68">
        <f t="shared" ca="1" si="4"/>
        <v>5.4566341183228031E-3</v>
      </c>
      <c r="H134" s="85">
        <f t="shared" ca="1" si="5"/>
        <v>0.99454336588167724</v>
      </c>
      <c r="I134" s="86">
        <f t="shared" ca="1" si="6"/>
        <v>7.9781734635267085</v>
      </c>
      <c r="J134" s="8"/>
    </row>
    <row r="135" spans="4:10" ht="15.75" thickBot="1" x14ac:dyDescent="0.3">
      <c r="D135" s="8" t="str">
        <f t="shared" si="2"/>
        <v>Macroeconomic</v>
      </c>
      <c r="E135" s="15" t="str">
        <f t="shared" si="1"/>
        <v>Energy water food nexus</v>
      </c>
      <c r="F135" s="18"/>
      <c r="G135" s="67"/>
      <c r="H135" s="14"/>
      <c r="I135" s="22"/>
      <c r="J135" s="8"/>
    </row>
    <row r="136" spans="4:10" ht="15.75" thickBot="1" x14ac:dyDescent="0.3">
      <c r="D136" s="8" t="str">
        <f t="shared" si="2"/>
        <v>Macroeconomic</v>
      </c>
      <c r="E136" s="15" t="str">
        <f t="shared" si="1"/>
        <v>Global Recesion</v>
      </c>
      <c r="F136" s="18"/>
      <c r="G136" s="67"/>
      <c r="H136" s="14"/>
      <c r="I136" s="22"/>
      <c r="J136" s="8"/>
    </row>
    <row r="137" spans="4:10" ht="15.75" thickBot="1" x14ac:dyDescent="0.3">
      <c r="D137" s="8" t="str">
        <f t="shared" si="2"/>
        <v>Geopolitics &amp; regional</v>
      </c>
      <c r="E137" s="15" t="str">
        <f t="shared" si="1"/>
        <v>Middle East / North Africa fragility</v>
      </c>
      <c r="F137" s="18"/>
      <c r="G137" s="67"/>
      <c r="H137" s="14"/>
      <c r="I137" s="22"/>
      <c r="J137" s="8"/>
    </row>
    <row r="138" spans="4:10" ht="15.75" thickBot="1" x14ac:dyDescent="0.3">
      <c r="D138" s="8" t="str">
        <f t="shared" si="2"/>
        <v>Macroeconomic</v>
      </c>
      <c r="E138" s="15" t="str">
        <f t="shared" si="1"/>
        <v>Talent scarcity</v>
      </c>
      <c r="F138" s="22"/>
      <c r="G138" s="67"/>
      <c r="H138" s="67"/>
      <c r="I138" s="46"/>
      <c r="J138" s="8"/>
    </row>
    <row r="139" spans="4:10" s="8" customFormat="1" ht="15.75" thickBot="1" x14ac:dyDescent="0.3">
      <c r="D139" s="33" t="str">
        <f t="shared" si="2"/>
        <v>Geopolitics &amp; regional</v>
      </c>
      <c r="E139" s="47" t="str">
        <f t="shared" si="1"/>
        <v>Russia energy diplomacy</v>
      </c>
      <c r="F139" s="41"/>
      <c r="G139" s="70"/>
      <c r="H139" s="70"/>
      <c r="I139" s="48"/>
    </row>
    <row r="140" spans="4:10" ht="15.75" thickBot="1" x14ac:dyDescent="0.3">
      <c r="E140" s="8"/>
      <c r="G140"/>
      <c r="J140" s="8"/>
    </row>
    <row r="141" spans="4:10" ht="15.75" thickBot="1" x14ac:dyDescent="0.3">
      <c r="E141" s="47" t="s">
        <v>223</v>
      </c>
      <c r="F141" s="41">
        <f ca="1">MAX(F108:F134)</f>
        <v>13928</v>
      </c>
      <c r="G141"/>
      <c r="J141" s="8"/>
    </row>
    <row r="142" spans="4:10" x14ac:dyDescent="0.25">
      <c r="E142" s="8"/>
      <c r="G142"/>
      <c r="J142" s="8"/>
    </row>
    <row r="143" spans="4:10" ht="15.75" thickBot="1" x14ac:dyDescent="0.3">
      <c r="E143" s="8"/>
      <c r="G143"/>
      <c r="J143" s="8"/>
    </row>
    <row r="144" spans="4:10" ht="19.5" thickBot="1" x14ac:dyDescent="0.35">
      <c r="E144" s="192" t="s">
        <v>368</v>
      </c>
      <c r="F144" s="193"/>
      <c r="G144" s="193"/>
      <c r="H144" s="193"/>
      <c r="I144" s="194"/>
      <c r="J144" s="8"/>
    </row>
    <row r="145" spans="4:10" ht="15.75" thickBot="1" x14ac:dyDescent="0.3">
      <c r="D145" s="71" t="s">
        <v>240</v>
      </c>
      <c r="E145" s="71" t="s">
        <v>221</v>
      </c>
      <c r="F145" s="72" t="s">
        <v>225</v>
      </c>
      <c r="G145" s="73" t="s">
        <v>367</v>
      </c>
      <c r="H145" s="73" t="s">
        <v>228</v>
      </c>
      <c r="I145" s="73" t="s">
        <v>401</v>
      </c>
      <c r="J145" s="8"/>
    </row>
    <row r="146" spans="4:10" ht="15.75" thickBot="1" x14ac:dyDescent="0.3">
      <c r="D146" s="8" t="str">
        <f t="shared" ref="D146:F150" si="7">D60</f>
        <v>Vision &amp; technology</v>
      </c>
      <c r="E146" s="15" t="str">
        <f t="shared" si="7"/>
        <v>Electricity storage</v>
      </c>
      <c r="F146" s="18">
        <f t="shared" ca="1" si="7"/>
        <v>140327</v>
      </c>
      <c r="G146" s="67">
        <f ca="1">F146/$F$152</f>
        <v>1</v>
      </c>
      <c r="H146" s="85">
        <f ca="1">100%-G146</f>
        <v>0</v>
      </c>
      <c r="I146" s="50">
        <f ca="1">((H146*4)/100%)+8</f>
        <v>8</v>
      </c>
    </row>
    <row r="147" spans="4:10" ht="15.75" thickBot="1" x14ac:dyDescent="0.3">
      <c r="D147" s="8" t="str">
        <f t="shared" si="7"/>
        <v>Vision &amp; technology</v>
      </c>
      <c r="E147" s="15" t="str">
        <f t="shared" si="7"/>
        <v>Energy Efficiency</v>
      </c>
      <c r="F147" s="18">
        <f t="shared" ca="1" si="7"/>
        <v>99894</v>
      </c>
      <c r="G147" s="67">
        <f ca="1">F147/$F$152</f>
        <v>0.7118658561787824</v>
      </c>
      <c r="H147" s="85">
        <f ca="1">100%-G147</f>
        <v>0.2881341438212176</v>
      </c>
      <c r="I147" s="50">
        <f ca="1">((H147*4)/100%)+8</f>
        <v>9.15253657528487</v>
      </c>
    </row>
    <row r="148" spans="4:10" ht="15.75" thickBot="1" x14ac:dyDescent="0.3">
      <c r="D148" s="8" t="str">
        <f t="shared" si="7"/>
        <v>Business environment</v>
      </c>
      <c r="E148" s="15" t="str">
        <f t="shared" si="7"/>
        <v>Regional interconnection</v>
      </c>
      <c r="F148" s="18">
        <f t="shared" ca="1" si="7"/>
        <v>45760</v>
      </c>
      <c r="G148" s="67">
        <f ca="1">F148/$F$152</f>
        <v>0.32609547699302344</v>
      </c>
      <c r="H148" s="85">
        <f ca="1">100%-G148</f>
        <v>0.67390452300697656</v>
      </c>
      <c r="I148" s="50">
        <f ca="1">((H148*4)/100%)+8</f>
        <v>10.695618092027907</v>
      </c>
    </row>
    <row r="149" spans="4:10" ht="15.75" thickBot="1" x14ac:dyDescent="0.3">
      <c r="D149" s="8" t="str">
        <f t="shared" si="7"/>
        <v>Vision &amp; technology</v>
      </c>
      <c r="E149" s="15" t="str">
        <f t="shared" si="7"/>
        <v>Future mobility</v>
      </c>
      <c r="F149" s="18">
        <f t="shared" ca="1" si="7"/>
        <v>37140</v>
      </c>
      <c r="G149" s="67">
        <f ca="1">F149/$F$152</f>
        <v>0.2646675265629565</v>
      </c>
      <c r="H149" s="85">
        <f ca="1">100%-G149</f>
        <v>0.73533247343704344</v>
      </c>
      <c r="I149" s="50">
        <f ca="1">((H149*4)/100%)+8</f>
        <v>10.941329893748174</v>
      </c>
    </row>
    <row r="150" spans="4:10" ht="15.75" thickBot="1" x14ac:dyDescent="0.3">
      <c r="D150" s="8" t="str">
        <f t="shared" si="7"/>
        <v>Business environment</v>
      </c>
      <c r="E150" s="15" t="str">
        <f t="shared" si="7"/>
        <v>Business cycle</v>
      </c>
      <c r="F150" s="18">
        <f t="shared" ca="1" si="7"/>
        <v>16493</v>
      </c>
      <c r="G150" s="70">
        <f ca="1">F150/$F$152</f>
        <v>0.11753262023701783</v>
      </c>
      <c r="H150" s="87">
        <f ca="1">100%-G150</f>
        <v>0.88246737976298217</v>
      </c>
      <c r="I150" s="51">
        <f ca="1">((H150*4)/100%)+8</f>
        <v>11.529869519051928</v>
      </c>
    </row>
    <row r="151" spans="4:10" ht="15.75" thickBot="1" x14ac:dyDescent="0.3">
      <c r="E151" s="8"/>
      <c r="J151" s="8"/>
    </row>
    <row r="152" spans="4:10" ht="15.75" thickBot="1" x14ac:dyDescent="0.3">
      <c r="E152" s="47" t="s">
        <v>223</v>
      </c>
      <c r="F152" s="41">
        <f ca="1">MAX(F146:F150)</f>
        <v>140327</v>
      </c>
      <c r="J152" s="8"/>
    </row>
    <row r="153" spans="4:10" x14ac:dyDescent="0.25">
      <c r="E153" s="8"/>
      <c r="J153" s="8"/>
    </row>
    <row r="154" spans="4:10" s="8" customFormat="1" x14ac:dyDescent="0.25"/>
    <row r="155" spans="4:10" s="8" customFormat="1" x14ac:dyDescent="0.25"/>
    <row r="156" spans="4:10" s="8" customFormat="1" ht="15.75" thickBot="1" x14ac:dyDescent="0.3"/>
    <row r="157" spans="4:10" s="8" customFormat="1" ht="19.5" thickBot="1" x14ac:dyDescent="0.35">
      <c r="E157" s="192" t="s">
        <v>369</v>
      </c>
      <c r="F157" s="193"/>
      <c r="G157" s="193"/>
      <c r="H157" s="193"/>
      <c r="I157" s="194"/>
    </row>
    <row r="158" spans="4:10" ht="15.75" thickBot="1" x14ac:dyDescent="0.3">
      <c r="D158" s="71" t="s">
        <v>240</v>
      </c>
      <c r="E158" s="71" t="s">
        <v>221</v>
      </c>
      <c r="F158" s="72" t="s">
        <v>225</v>
      </c>
      <c r="G158" s="73" t="s">
        <v>370</v>
      </c>
      <c r="H158" s="73" t="s">
        <v>228</v>
      </c>
      <c r="I158" s="73" t="s">
        <v>401</v>
      </c>
      <c r="J158" s="8"/>
    </row>
    <row r="159" spans="4:10" ht="15.75" thickBot="1" x14ac:dyDescent="0.3">
      <c r="D159" s="8" t="str">
        <f t="shared" ref="D159:F163" si="8">D92</f>
        <v>Macroeconomic</v>
      </c>
      <c r="E159" s="15" t="str">
        <f t="shared" si="8"/>
        <v>Energy water food nexus</v>
      </c>
      <c r="F159" s="18">
        <f t="shared" ca="1" si="8"/>
        <v>43</v>
      </c>
      <c r="G159" s="88">
        <f ca="1">F159/$F$165</f>
        <v>1</v>
      </c>
      <c r="H159" s="89">
        <f ca="1">100%-G159</f>
        <v>0</v>
      </c>
      <c r="I159" s="90">
        <f ca="1">(H159*4)/100%</f>
        <v>0</v>
      </c>
    </row>
    <row r="160" spans="4:10" ht="15.75" thickBot="1" x14ac:dyDescent="0.3">
      <c r="D160" s="8" t="str">
        <f t="shared" si="8"/>
        <v>Macroeconomic</v>
      </c>
      <c r="E160" s="15" t="str">
        <f t="shared" si="8"/>
        <v>Global Recesion</v>
      </c>
      <c r="F160" s="18">
        <f t="shared" ca="1" si="8"/>
        <v>10</v>
      </c>
      <c r="G160" s="65">
        <f ca="1">F160/$F$165</f>
        <v>0.23255813953488372</v>
      </c>
      <c r="H160" s="85">
        <f ca="1">100%-G160</f>
        <v>0.76744186046511631</v>
      </c>
      <c r="I160" s="50">
        <f ca="1">(H160*4)/100%</f>
        <v>3.0697674418604652</v>
      </c>
    </row>
    <row r="161" spans="4:10" ht="15.75" thickBot="1" x14ac:dyDescent="0.3">
      <c r="D161" s="8" t="str">
        <f t="shared" si="8"/>
        <v>Geopolitics &amp; regional</v>
      </c>
      <c r="E161" s="15" t="str">
        <f t="shared" si="8"/>
        <v>Middle East / North Africa fragility</v>
      </c>
      <c r="F161" s="18">
        <f t="shared" ca="1" si="8"/>
        <v>8</v>
      </c>
      <c r="G161" s="65">
        <f ca="1">F161/$F$165</f>
        <v>0.18604651162790697</v>
      </c>
      <c r="H161" s="85">
        <f ca="1">100%-G161</f>
        <v>0.81395348837209303</v>
      </c>
      <c r="I161" s="50">
        <f ca="1">(H161*4)/100%</f>
        <v>3.2558139534883721</v>
      </c>
    </row>
    <row r="162" spans="4:10" ht="15.75" thickBot="1" x14ac:dyDescent="0.3">
      <c r="D162" s="8" t="str">
        <f t="shared" si="8"/>
        <v>Macroeconomic</v>
      </c>
      <c r="E162" s="15" t="str">
        <f t="shared" si="8"/>
        <v>Talent scarcity</v>
      </c>
      <c r="F162" s="18">
        <f t="shared" ca="1" si="8"/>
        <v>6</v>
      </c>
      <c r="G162" s="65">
        <f ca="1">F162/$F$165</f>
        <v>0.13953488372093023</v>
      </c>
      <c r="H162" s="85">
        <f ca="1">100%-G162</f>
        <v>0.86046511627906974</v>
      </c>
      <c r="I162" s="50">
        <f ca="1">(H162*4)/100%</f>
        <v>3.441860465116279</v>
      </c>
    </row>
    <row r="163" spans="4:10" ht="15.75" thickBot="1" x14ac:dyDescent="0.3">
      <c r="D163" s="8" t="str">
        <f t="shared" si="8"/>
        <v>Geopolitics &amp; regional</v>
      </c>
      <c r="E163" s="47" t="str">
        <f t="shared" si="8"/>
        <v>Russia energy diplomacy</v>
      </c>
      <c r="F163" s="18">
        <f t="shared" ca="1" si="8"/>
        <v>1</v>
      </c>
      <c r="G163" s="66">
        <f ca="1">F163/$F$165</f>
        <v>2.3255813953488372E-2</v>
      </c>
      <c r="H163" s="87">
        <f ca="1">100%-G163</f>
        <v>0.97674418604651159</v>
      </c>
      <c r="I163" s="51">
        <f ca="1">(H163*4)/100%</f>
        <v>3.9069767441860463</v>
      </c>
    </row>
    <row r="164" spans="4:10" ht="15.75" thickBot="1" x14ac:dyDescent="0.3">
      <c r="E164" s="8"/>
      <c r="J164" s="8"/>
    </row>
    <row r="165" spans="4:10" ht="15.75" thickBot="1" x14ac:dyDescent="0.3">
      <c r="E165" s="47" t="s">
        <v>223</v>
      </c>
      <c r="F165" s="41">
        <f ca="1">MAX(F159:F163)</f>
        <v>43</v>
      </c>
      <c r="J165" s="8"/>
    </row>
    <row r="166" spans="4:10" x14ac:dyDescent="0.25">
      <c r="E166" s="8"/>
      <c r="J166" s="8"/>
    </row>
    <row r="167" spans="4:10" x14ac:dyDescent="0.25">
      <c r="E167" s="8"/>
      <c r="J167" s="8"/>
    </row>
    <row r="168" spans="4:10" x14ac:dyDescent="0.25">
      <c r="E168" s="8"/>
    </row>
    <row r="169" spans="4:10" x14ac:dyDescent="0.25">
      <c r="E169" s="8"/>
    </row>
    <row r="170" spans="4:10" x14ac:dyDescent="0.25">
      <c r="E170" s="8"/>
    </row>
    <row r="171" spans="4:10" x14ac:dyDescent="0.25">
      <c r="E171" s="8"/>
    </row>
    <row r="172" spans="4:10" x14ac:dyDescent="0.25">
      <c r="E172" s="8"/>
    </row>
    <row r="173" spans="4:10" x14ac:dyDescent="0.25">
      <c r="E173" s="8"/>
    </row>
    <row r="174" spans="4:10" x14ac:dyDescent="0.25">
      <c r="E174" s="8"/>
    </row>
    <row r="175" spans="4:10" x14ac:dyDescent="0.25">
      <c r="E175" s="8"/>
    </row>
    <row r="176" spans="4:10" x14ac:dyDescent="0.25">
      <c r="E176" s="8"/>
    </row>
    <row r="177" spans="5:5" x14ac:dyDescent="0.25">
      <c r="E177" s="8"/>
    </row>
    <row r="178" spans="5:5" x14ac:dyDescent="0.25">
      <c r="E178" s="8"/>
    </row>
    <row r="179" spans="5:5" x14ac:dyDescent="0.25">
      <c r="E179" s="8"/>
    </row>
    <row r="180" spans="5:5" x14ac:dyDescent="0.25">
      <c r="E180" s="8"/>
    </row>
    <row r="181" spans="5:5" x14ac:dyDescent="0.25">
      <c r="E181" s="8"/>
    </row>
    <row r="182" spans="5:5" x14ac:dyDescent="0.25">
      <c r="E182" s="8"/>
    </row>
    <row r="183" spans="5:5" x14ac:dyDescent="0.25">
      <c r="E183" s="8"/>
    </row>
    <row r="184" spans="5:5" x14ac:dyDescent="0.25">
      <c r="E184" s="8"/>
    </row>
    <row r="185" spans="5:5" x14ac:dyDescent="0.25">
      <c r="E185" s="8"/>
    </row>
    <row r="186" spans="5:5" x14ac:dyDescent="0.25">
      <c r="E186" s="8"/>
    </row>
    <row r="187" spans="5:5" x14ac:dyDescent="0.25">
      <c r="E187" s="8"/>
    </row>
    <row r="188" spans="5:5" x14ac:dyDescent="0.25">
      <c r="E188" s="8"/>
    </row>
    <row r="189" spans="5:5" x14ac:dyDescent="0.25">
      <c r="E189" s="8"/>
    </row>
    <row r="190" spans="5:5" x14ac:dyDescent="0.25">
      <c r="E190" s="8"/>
    </row>
    <row r="191" spans="5:5" x14ac:dyDescent="0.25">
      <c r="E191" s="8"/>
    </row>
    <row r="192" spans="5:5" x14ac:dyDescent="0.25">
      <c r="E192" s="8"/>
    </row>
    <row r="193" spans="5:5" x14ac:dyDescent="0.25">
      <c r="E193" s="8"/>
    </row>
    <row r="194" spans="5:5" x14ac:dyDescent="0.25">
      <c r="E194" s="8"/>
    </row>
    <row r="195" spans="5:5" x14ac:dyDescent="0.25">
      <c r="E195" s="8"/>
    </row>
    <row r="196" spans="5:5" x14ac:dyDescent="0.25">
      <c r="E196" s="8"/>
    </row>
    <row r="197" spans="5:5" x14ac:dyDescent="0.25">
      <c r="E197" s="8"/>
    </row>
    <row r="198" spans="5:5" x14ac:dyDescent="0.25">
      <c r="E198" s="8"/>
    </row>
    <row r="199" spans="5:5" x14ac:dyDescent="0.25">
      <c r="E199" s="8"/>
    </row>
    <row r="200" spans="5:5" x14ac:dyDescent="0.25">
      <c r="E200" s="8"/>
    </row>
    <row r="201" spans="5:5" x14ac:dyDescent="0.25">
      <c r="E201" s="8"/>
    </row>
    <row r="202" spans="5:5" x14ac:dyDescent="0.25">
      <c r="E202" s="8"/>
    </row>
    <row r="203" spans="5:5" x14ac:dyDescent="0.25">
      <c r="E203" s="8"/>
    </row>
    <row r="204" spans="5:5" x14ac:dyDescent="0.25">
      <c r="E204" s="8"/>
    </row>
    <row r="205" spans="5:5" x14ac:dyDescent="0.25">
      <c r="E205" s="8"/>
    </row>
    <row r="206" spans="5:5" x14ac:dyDescent="0.25">
      <c r="E206" s="8"/>
    </row>
    <row r="207" spans="5:5" x14ac:dyDescent="0.25">
      <c r="E207" s="8"/>
    </row>
    <row r="208" spans="5:5" x14ac:dyDescent="0.25">
      <c r="E208" s="8"/>
    </row>
    <row r="209" spans="5:5" x14ac:dyDescent="0.25">
      <c r="E209" s="8"/>
    </row>
    <row r="210" spans="5:5" x14ac:dyDescent="0.25">
      <c r="E210" s="8"/>
    </row>
    <row r="211" spans="5:5" x14ac:dyDescent="0.25">
      <c r="E211" s="8"/>
    </row>
    <row r="212" spans="5:5" x14ac:dyDescent="0.25">
      <c r="E212" s="8"/>
    </row>
    <row r="213" spans="5:5" x14ac:dyDescent="0.25">
      <c r="E213" s="8"/>
    </row>
    <row r="214" spans="5:5" x14ac:dyDescent="0.25">
      <c r="E214" s="8"/>
    </row>
    <row r="215" spans="5:5" x14ac:dyDescent="0.25">
      <c r="E215" s="8"/>
    </row>
    <row r="216" spans="5:5" x14ac:dyDescent="0.25">
      <c r="E216" s="8"/>
    </row>
    <row r="217" spans="5:5" x14ac:dyDescent="0.25">
      <c r="E217" s="8"/>
    </row>
    <row r="218" spans="5:5" x14ac:dyDescent="0.25">
      <c r="E218" s="8"/>
    </row>
    <row r="219" spans="5:5" x14ac:dyDescent="0.25">
      <c r="E219" s="8"/>
    </row>
    <row r="220" spans="5:5" x14ac:dyDescent="0.25">
      <c r="E220" s="8"/>
    </row>
    <row r="221" spans="5:5" x14ac:dyDescent="0.25">
      <c r="E221" s="8"/>
    </row>
    <row r="222" spans="5:5" x14ac:dyDescent="0.25">
      <c r="E222" s="8"/>
    </row>
    <row r="223" spans="5:5" x14ac:dyDescent="0.25">
      <c r="E223" s="8"/>
    </row>
    <row r="224" spans="5:5" x14ac:dyDescent="0.25">
      <c r="E224" s="8"/>
    </row>
    <row r="225" spans="5:5" x14ac:dyDescent="0.25">
      <c r="E225" s="8"/>
    </row>
    <row r="226" spans="5:5" x14ac:dyDescent="0.25">
      <c r="E226" s="8"/>
    </row>
    <row r="227" spans="5:5" x14ac:dyDescent="0.25">
      <c r="E227" s="8"/>
    </row>
    <row r="228" spans="5:5" x14ac:dyDescent="0.25">
      <c r="E228" s="8"/>
    </row>
    <row r="229" spans="5:5" x14ac:dyDescent="0.25">
      <c r="E229" s="8"/>
    </row>
    <row r="230" spans="5:5" x14ac:dyDescent="0.25">
      <c r="E230" s="8"/>
    </row>
    <row r="231" spans="5:5" x14ac:dyDescent="0.25">
      <c r="E231" s="8"/>
    </row>
    <row r="232" spans="5:5" x14ac:dyDescent="0.25">
      <c r="E232" s="8"/>
    </row>
    <row r="233" spans="5:5" x14ac:dyDescent="0.25">
      <c r="E233" s="8"/>
    </row>
    <row r="234" spans="5:5" x14ac:dyDescent="0.25">
      <c r="E234" s="8"/>
    </row>
    <row r="235" spans="5:5" x14ac:dyDescent="0.25">
      <c r="E235" s="8"/>
    </row>
    <row r="236" spans="5:5" x14ac:dyDescent="0.25">
      <c r="E236" s="8"/>
    </row>
    <row r="237" spans="5:5" x14ac:dyDescent="0.25">
      <c r="E237" s="8"/>
    </row>
    <row r="238" spans="5:5" x14ac:dyDescent="0.25">
      <c r="E238" s="8"/>
    </row>
    <row r="239" spans="5:5" x14ac:dyDescent="0.25">
      <c r="E239" s="8"/>
    </row>
    <row r="240" spans="5:5" x14ac:dyDescent="0.25">
      <c r="E240" s="8"/>
    </row>
    <row r="241" spans="5:5" x14ac:dyDescent="0.25">
      <c r="E241" s="8"/>
    </row>
    <row r="242" spans="5:5" x14ac:dyDescent="0.25">
      <c r="E242" s="8"/>
    </row>
    <row r="243" spans="5:5" x14ac:dyDescent="0.25">
      <c r="E243" s="8"/>
    </row>
    <row r="244" spans="5:5" x14ac:dyDescent="0.25">
      <c r="E244" s="8"/>
    </row>
    <row r="245" spans="5:5" x14ac:dyDescent="0.25">
      <c r="E245" s="8"/>
    </row>
    <row r="246" spans="5:5" x14ac:dyDescent="0.25">
      <c r="E246" s="8"/>
    </row>
    <row r="247" spans="5:5" x14ac:dyDescent="0.25">
      <c r="E247" s="8"/>
    </row>
    <row r="248" spans="5:5" x14ac:dyDescent="0.25">
      <c r="E248" s="8"/>
    </row>
    <row r="249" spans="5:5" x14ac:dyDescent="0.25">
      <c r="E249" s="8"/>
    </row>
    <row r="250" spans="5:5" x14ac:dyDescent="0.25">
      <c r="E250" s="8"/>
    </row>
    <row r="251" spans="5:5" x14ac:dyDescent="0.25">
      <c r="E251" s="8"/>
    </row>
    <row r="252" spans="5:5" x14ac:dyDescent="0.25">
      <c r="E252" s="8"/>
    </row>
    <row r="253" spans="5:5" x14ac:dyDescent="0.25">
      <c r="E253" s="8"/>
    </row>
    <row r="254" spans="5:5" x14ac:dyDescent="0.25">
      <c r="E254" s="8"/>
    </row>
    <row r="255" spans="5:5" x14ac:dyDescent="0.25">
      <c r="E255" s="8"/>
    </row>
    <row r="256" spans="5:5" x14ac:dyDescent="0.25">
      <c r="E256" s="8"/>
    </row>
    <row r="257" spans="5:5" x14ac:dyDescent="0.25">
      <c r="E257" s="8"/>
    </row>
    <row r="258" spans="5:5" x14ac:dyDescent="0.25">
      <c r="E258" s="8"/>
    </row>
    <row r="259" spans="5:5" x14ac:dyDescent="0.25">
      <c r="E259" s="8"/>
    </row>
    <row r="260" spans="5:5" x14ac:dyDescent="0.25">
      <c r="E260" s="8"/>
    </row>
    <row r="261" spans="5:5" x14ac:dyDescent="0.25">
      <c r="E261" s="8"/>
    </row>
    <row r="262" spans="5:5" x14ac:dyDescent="0.25">
      <c r="E262" s="8"/>
    </row>
    <row r="263" spans="5:5" x14ac:dyDescent="0.25">
      <c r="E263" s="8"/>
    </row>
    <row r="264" spans="5:5" x14ac:dyDescent="0.25">
      <c r="E264" s="8"/>
    </row>
    <row r="265" spans="5:5" x14ac:dyDescent="0.25">
      <c r="E265" s="8"/>
    </row>
    <row r="266" spans="5:5" x14ac:dyDescent="0.25">
      <c r="E266" s="8"/>
    </row>
    <row r="267" spans="5:5" x14ac:dyDescent="0.25">
      <c r="E267" s="8"/>
    </row>
    <row r="268" spans="5:5" x14ac:dyDescent="0.25">
      <c r="E268" s="8"/>
    </row>
    <row r="269" spans="5:5" x14ac:dyDescent="0.25">
      <c r="E269" s="8"/>
    </row>
    <row r="270" spans="5:5" x14ac:dyDescent="0.25">
      <c r="E270" s="8"/>
    </row>
    <row r="271" spans="5:5" x14ac:dyDescent="0.25">
      <c r="E271" s="8"/>
    </row>
    <row r="272" spans="5:5" x14ac:dyDescent="0.25">
      <c r="E272" s="8"/>
    </row>
    <row r="273" spans="5:5" x14ac:dyDescent="0.25">
      <c r="E273" s="8"/>
    </row>
    <row r="274" spans="5:5" x14ac:dyDescent="0.25">
      <c r="E274" s="8"/>
    </row>
    <row r="275" spans="5:5" x14ac:dyDescent="0.25">
      <c r="E275" s="8"/>
    </row>
    <row r="276" spans="5:5" x14ac:dyDescent="0.25">
      <c r="E276" s="8"/>
    </row>
    <row r="277" spans="5:5" x14ac:dyDescent="0.25">
      <c r="E277" s="8"/>
    </row>
    <row r="278" spans="5:5" x14ac:dyDescent="0.25">
      <c r="E278" s="8"/>
    </row>
    <row r="279" spans="5:5" x14ac:dyDescent="0.25">
      <c r="E279" s="8"/>
    </row>
    <row r="280" spans="5:5" x14ac:dyDescent="0.25">
      <c r="E280" s="8"/>
    </row>
    <row r="281" spans="5:5" x14ac:dyDescent="0.25">
      <c r="E281" s="8"/>
    </row>
    <row r="282" spans="5:5" x14ac:dyDescent="0.25">
      <c r="E282" s="8"/>
    </row>
    <row r="283" spans="5:5" x14ac:dyDescent="0.25">
      <c r="E283" s="8"/>
    </row>
    <row r="284" spans="5:5" x14ac:dyDescent="0.25">
      <c r="E284" s="8"/>
    </row>
    <row r="285" spans="5:5" x14ac:dyDescent="0.25">
      <c r="E285" s="8"/>
    </row>
    <row r="286" spans="5:5" x14ac:dyDescent="0.25">
      <c r="E286" s="8"/>
    </row>
    <row r="287" spans="5:5" x14ac:dyDescent="0.25">
      <c r="E287" s="8"/>
    </row>
    <row r="288" spans="5:5" x14ac:dyDescent="0.25">
      <c r="E288" s="8"/>
    </row>
    <row r="289" spans="5:5" x14ac:dyDescent="0.25">
      <c r="E289" s="8"/>
    </row>
    <row r="290" spans="5:5" x14ac:dyDescent="0.25">
      <c r="E290" s="8"/>
    </row>
    <row r="291" spans="5:5" x14ac:dyDescent="0.25">
      <c r="E291" s="8"/>
    </row>
    <row r="292" spans="5:5" x14ac:dyDescent="0.25">
      <c r="E292" s="8"/>
    </row>
    <row r="293" spans="5:5" x14ac:dyDescent="0.25">
      <c r="E293" s="8"/>
    </row>
    <row r="294" spans="5:5" x14ac:dyDescent="0.25">
      <c r="E294" s="8"/>
    </row>
    <row r="295" spans="5:5" x14ac:dyDescent="0.25">
      <c r="E295" s="8"/>
    </row>
    <row r="296" spans="5:5" x14ac:dyDescent="0.25">
      <c r="E296" s="8"/>
    </row>
    <row r="297" spans="5:5" x14ac:dyDescent="0.25">
      <c r="E297" s="8"/>
    </row>
    <row r="298" spans="5:5" x14ac:dyDescent="0.25">
      <c r="E298" s="8"/>
    </row>
    <row r="299" spans="5:5" x14ac:dyDescent="0.25">
      <c r="E299" s="8"/>
    </row>
    <row r="300" spans="5:5" x14ac:dyDescent="0.25">
      <c r="E300" s="8"/>
    </row>
    <row r="301" spans="5:5" x14ac:dyDescent="0.25">
      <c r="E301" s="8"/>
    </row>
    <row r="302" spans="5:5" x14ac:dyDescent="0.25">
      <c r="E302" s="8"/>
    </row>
    <row r="303" spans="5:5" x14ac:dyDescent="0.25">
      <c r="E303" s="8"/>
    </row>
    <row r="304" spans="5:5" x14ac:dyDescent="0.25">
      <c r="E304" s="8"/>
    </row>
    <row r="305" spans="5:5" x14ac:dyDescent="0.25">
      <c r="E305" s="8"/>
    </row>
    <row r="306" spans="5:5" x14ac:dyDescent="0.25">
      <c r="E306" s="8"/>
    </row>
    <row r="307" spans="5:5" x14ac:dyDescent="0.25">
      <c r="E307" s="8"/>
    </row>
    <row r="308" spans="5:5" x14ac:dyDescent="0.25">
      <c r="E308" s="8"/>
    </row>
    <row r="309" spans="5:5" x14ac:dyDescent="0.25">
      <c r="E309" s="8"/>
    </row>
    <row r="310" spans="5:5" x14ac:dyDescent="0.25">
      <c r="E310" s="8"/>
    </row>
    <row r="311" spans="5:5" x14ac:dyDescent="0.25">
      <c r="E311" s="8"/>
    </row>
    <row r="312" spans="5:5" x14ac:dyDescent="0.25">
      <c r="E312" s="8"/>
    </row>
    <row r="313" spans="5:5" x14ac:dyDescent="0.25">
      <c r="E313" s="8"/>
    </row>
    <row r="314" spans="5:5" x14ac:dyDescent="0.25">
      <c r="E314" s="8"/>
    </row>
    <row r="315" spans="5:5" x14ac:dyDescent="0.25">
      <c r="E315" s="8"/>
    </row>
    <row r="316" spans="5:5" x14ac:dyDescent="0.25">
      <c r="E316" s="8"/>
    </row>
    <row r="317" spans="5:5" x14ac:dyDescent="0.25">
      <c r="E317" s="8"/>
    </row>
    <row r="318" spans="5:5" x14ac:dyDescent="0.25">
      <c r="E318" s="8"/>
    </row>
    <row r="319" spans="5:5" x14ac:dyDescent="0.25">
      <c r="E319" s="8"/>
    </row>
    <row r="320" spans="5:5" x14ac:dyDescent="0.25">
      <c r="E320" s="8"/>
    </row>
    <row r="321" spans="5:5" x14ac:dyDescent="0.25">
      <c r="E321" s="8"/>
    </row>
    <row r="322" spans="5:5" x14ac:dyDescent="0.25">
      <c r="E322" s="8"/>
    </row>
    <row r="323" spans="5:5" x14ac:dyDescent="0.25">
      <c r="E323" s="8"/>
    </row>
    <row r="324" spans="5:5" x14ac:dyDescent="0.25">
      <c r="E324" s="8"/>
    </row>
    <row r="325" spans="5:5" x14ac:dyDescent="0.25">
      <c r="E325" s="8"/>
    </row>
    <row r="326" spans="5:5" x14ac:dyDescent="0.25">
      <c r="E326" s="8"/>
    </row>
    <row r="327" spans="5:5" x14ac:dyDescent="0.25">
      <c r="E327" s="8"/>
    </row>
    <row r="328" spans="5:5" x14ac:dyDescent="0.25">
      <c r="E328" s="8"/>
    </row>
    <row r="329" spans="5:5" x14ac:dyDescent="0.25">
      <c r="E329" s="8"/>
    </row>
    <row r="330" spans="5:5" x14ac:dyDescent="0.25">
      <c r="E330" s="8"/>
    </row>
    <row r="331" spans="5:5" x14ac:dyDescent="0.25">
      <c r="E331" s="8"/>
    </row>
    <row r="332" spans="5:5" x14ac:dyDescent="0.25">
      <c r="E332" s="8"/>
    </row>
  </sheetData>
  <sortState ref="D60:F96">
    <sortCondition descending="1" ref="F59"/>
  </sortState>
  <mergeCells count="41">
    <mergeCell ref="D58:F58"/>
    <mergeCell ref="E144:I144"/>
    <mergeCell ref="E157:I157"/>
    <mergeCell ref="CX3:CY3"/>
    <mergeCell ref="DA3:DB3"/>
    <mergeCell ref="BT3:BU3"/>
    <mergeCell ref="BW3:BX3"/>
    <mergeCell ref="BZ3:CA3"/>
    <mergeCell ref="CC3:CD3"/>
    <mergeCell ref="CF3:CG3"/>
    <mergeCell ref="BE3:BF3"/>
    <mergeCell ref="BH3:BI3"/>
    <mergeCell ref="BK3:BL3"/>
    <mergeCell ref="BN3:BO3"/>
    <mergeCell ref="BQ3:BR3"/>
    <mergeCell ref="F3:G3"/>
    <mergeCell ref="O3:P3"/>
    <mergeCell ref="R3:S3"/>
    <mergeCell ref="DD3:DE3"/>
    <mergeCell ref="DG3:DH3"/>
    <mergeCell ref="CI3:CJ3"/>
    <mergeCell ref="CL3:CM3"/>
    <mergeCell ref="CO3:CP3"/>
    <mergeCell ref="CR3:CS3"/>
    <mergeCell ref="CU3:CV3"/>
    <mergeCell ref="B2:D6"/>
    <mergeCell ref="E101:I101"/>
    <mergeCell ref="AY3:AZ3"/>
    <mergeCell ref="BB3:BC3"/>
    <mergeCell ref="AG3:AH3"/>
    <mergeCell ref="AJ3:AK3"/>
    <mergeCell ref="AM3:AN3"/>
    <mergeCell ref="AP3:AQ3"/>
    <mergeCell ref="AS3:AT3"/>
    <mergeCell ref="U3:V3"/>
    <mergeCell ref="X3:Y3"/>
    <mergeCell ref="AA3:AB3"/>
    <mergeCell ref="AD3:AE3"/>
    <mergeCell ref="AV3:AW3"/>
    <mergeCell ref="I3:J3"/>
    <mergeCell ref="L3:M3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DK177"/>
  <sheetViews>
    <sheetView topLeftCell="A84" zoomScale="60" zoomScaleNormal="60" workbookViewId="0">
      <selection activeCell="D103" sqref="D103"/>
    </sheetView>
  </sheetViews>
  <sheetFormatPr baseColWidth="10" defaultRowHeight="15" x14ac:dyDescent="0.25"/>
  <cols>
    <col min="1" max="1" width="11.42578125" style="8"/>
    <col min="2" max="2" width="38.7109375" style="8" customWidth="1"/>
    <col min="3" max="3" width="68" style="8" bestFit="1" customWidth="1"/>
    <col min="4" max="4" width="36" style="8" customWidth="1"/>
    <col min="5" max="5" width="21.42578125" style="8" customWidth="1"/>
    <col min="6" max="6" width="25.85546875" style="8" customWidth="1"/>
    <col min="7" max="7" width="28.28515625" style="6" bestFit="1" customWidth="1"/>
    <col min="8" max="8" width="11.42578125" style="8"/>
    <col min="9" max="9" width="37.42578125" style="8" bestFit="1" customWidth="1"/>
    <col min="10" max="10" width="26.42578125" style="8" bestFit="1" customWidth="1"/>
    <col min="11" max="11" width="11.42578125" style="8"/>
    <col min="12" max="12" width="43" style="8" bestFit="1" customWidth="1"/>
    <col min="13" max="13" width="27.5703125" style="8" bestFit="1" customWidth="1"/>
    <col min="14" max="14" width="11.42578125" style="8"/>
    <col min="15" max="15" width="43" style="8" bestFit="1" customWidth="1"/>
    <col min="16" max="16" width="27.5703125" style="8" bestFit="1" customWidth="1"/>
    <col min="17" max="17" width="11.42578125" style="8"/>
    <col min="18" max="18" width="43" style="8" bestFit="1" customWidth="1"/>
    <col min="19" max="19" width="27.5703125" style="8" bestFit="1" customWidth="1"/>
    <col min="20" max="20" width="11.42578125" style="8"/>
    <col min="21" max="21" width="43" style="8" bestFit="1" customWidth="1"/>
    <col min="22" max="22" width="27.5703125" style="8" bestFit="1" customWidth="1"/>
    <col min="23" max="23" width="11.42578125" style="8"/>
    <col min="24" max="24" width="43" style="8" bestFit="1" customWidth="1"/>
    <col min="25" max="25" width="27.5703125" style="8" bestFit="1" customWidth="1"/>
    <col min="26" max="26" width="11.42578125" style="8"/>
    <col min="27" max="27" width="43" style="8" customWidth="1"/>
    <col min="28" max="28" width="27.5703125" style="8" bestFit="1" customWidth="1"/>
    <col min="29" max="29" width="11.42578125" style="8"/>
    <col min="30" max="30" width="43" style="8" customWidth="1"/>
    <col min="31" max="31" width="27.5703125" style="8" bestFit="1" customWidth="1"/>
    <col min="32" max="32" width="11.42578125" style="8"/>
    <col min="33" max="33" width="43" style="8" bestFit="1" customWidth="1"/>
    <col min="34" max="34" width="27.5703125" style="8" bestFit="1" customWidth="1"/>
    <col min="35" max="35" width="11.42578125" style="8"/>
    <col min="36" max="36" width="43" style="8" bestFit="1" customWidth="1"/>
    <col min="37" max="37" width="27.5703125" style="8" bestFit="1" customWidth="1"/>
    <col min="38" max="38" width="11.42578125" style="8"/>
    <col min="39" max="39" width="43" style="8" bestFit="1" customWidth="1"/>
    <col min="40" max="40" width="27.5703125" style="8" bestFit="1" customWidth="1"/>
    <col min="41" max="41" width="11.42578125" style="8"/>
    <col min="42" max="42" width="43" style="8" bestFit="1" customWidth="1"/>
    <col min="43" max="43" width="27.5703125" style="8" bestFit="1" customWidth="1"/>
    <col min="44" max="44" width="11.42578125" style="8"/>
    <col min="45" max="45" width="43" style="8" bestFit="1" customWidth="1"/>
    <col min="46" max="46" width="27.5703125" style="8" bestFit="1" customWidth="1"/>
    <col min="47" max="47" width="11.42578125" style="8"/>
    <col min="48" max="48" width="43" style="8" bestFit="1" customWidth="1"/>
    <col min="49" max="49" width="27.5703125" style="8" bestFit="1" customWidth="1"/>
    <col min="50" max="50" width="11.42578125" style="8"/>
    <col min="51" max="51" width="43" style="8" bestFit="1" customWidth="1"/>
    <col min="52" max="52" width="27.5703125" style="8" bestFit="1" customWidth="1"/>
    <col min="53" max="53" width="11.42578125" style="8"/>
    <col min="54" max="54" width="44.7109375" style="8" bestFit="1" customWidth="1"/>
    <col min="55" max="55" width="27.5703125" style="8" bestFit="1" customWidth="1"/>
    <col min="56" max="56" width="11.42578125" style="8"/>
    <col min="57" max="57" width="68" style="8" customWidth="1"/>
    <col min="58" max="58" width="27.5703125" style="8" bestFit="1" customWidth="1"/>
    <col min="59" max="59" width="11.42578125" style="8"/>
    <col min="60" max="60" width="43" style="8" bestFit="1" customWidth="1"/>
    <col min="61" max="61" width="27.5703125" style="8" bestFit="1" customWidth="1"/>
    <col min="62" max="62" width="11.42578125" style="8"/>
    <col min="63" max="63" width="43" style="8" bestFit="1" customWidth="1"/>
    <col min="64" max="64" width="27.5703125" style="8" bestFit="1" customWidth="1"/>
    <col min="65" max="65" width="11.42578125" style="8"/>
    <col min="66" max="66" width="43" style="8" bestFit="1" customWidth="1"/>
    <col min="67" max="67" width="27.5703125" style="8" bestFit="1" customWidth="1"/>
    <col min="68" max="68" width="11.42578125" style="8"/>
    <col min="69" max="69" width="43" style="8" bestFit="1" customWidth="1"/>
    <col min="70" max="70" width="27.5703125" style="8" bestFit="1" customWidth="1"/>
    <col min="71" max="71" width="11.42578125" style="8"/>
    <col min="72" max="72" width="46.140625" style="8" bestFit="1" customWidth="1"/>
    <col min="73" max="73" width="27.5703125" style="8" bestFit="1" customWidth="1"/>
    <col min="74" max="74" width="11.42578125" style="8"/>
    <col min="75" max="75" width="43" style="8" bestFit="1" customWidth="1"/>
    <col min="76" max="76" width="27.5703125" style="8" bestFit="1" customWidth="1"/>
    <col min="77" max="77" width="11.42578125" style="8"/>
    <col min="78" max="78" width="43" style="8" bestFit="1" customWidth="1"/>
    <col min="79" max="79" width="27.5703125" style="8" bestFit="1" customWidth="1"/>
    <col min="80" max="80" width="11.42578125" style="8"/>
    <col min="81" max="81" width="43" style="8" bestFit="1" customWidth="1"/>
    <col min="82" max="82" width="27.5703125" style="8" bestFit="1" customWidth="1"/>
    <col min="83" max="83" width="11.42578125" style="8"/>
    <col min="84" max="84" width="58" style="8" customWidth="1"/>
    <col min="85" max="85" width="27.5703125" style="8" bestFit="1" customWidth="1"/>
    <col min="86" max="86" width="11.42578125" style="8"/>
    <col min="87" max="87" width="43" style="8" bestFit="1" customWidth="1"/>
    <col min="88" max="88" width="27.5703125" style="8" bestFit="1" customWidth="1"/>
    <col min="89" max="89" width="11.42578125" style="8"/>
    <col min="90" max="90" width="43" style="8" bestFit="1" customWidth="1"/>
    <col min="91" max="91" width="27.5703125" style="8" bestFit="1" customWidth="1"/>
    <col min="92" max="92" width="11.42578125" style="8"/>
    <col min="93" max="93" width="43" style="8" customWidth="1"/>
    <col min="94" max="94" width="27.5703125" style="8" bestFit="1" customWidth="1"/>
    <col min="95" max="95" width="11.42578125" style="8"/>
    <col min="96" max="96" width="43" style="8" bestFit="1" customWidth="1"/>
    <col min="97" max="97" width="27.5703125" style="8" bestFit="1" customWidth="1"/>
    <col min="98" max="98" width="11.42578125" style="8"/>
    <col min="99" max="99" width="43" style="8" bestFit="1" customWidth="1"/>
    <col min="100" max="100" width="27.5703125" style="8" bestFit="1" customWidth="1"/>
    <col min="101" max="101" width="11.42578125" style="8"/>
    <col min="102" max="102" width="43" style="8" bestFit="1" customWidth="1"/>
    <col min="103" max="103" width="27.5703125" style="8" bestFit="1" customWidth="1"/>
    <col min="104" max="104" width="11.42578125" style="8"/>
    <col min="105" max="105" width="43" style="8" bestFit="1" customWidth="1"/>
    <col min="106" max="106" width="27.5703125" style="8" bestFit="1" customWidth="1"/>
    <col min="107" max="107" width="11.42578125" style="8"/>
    <col min="108" max="108" width="43" style="8" bestFit="1" customWidth="1"/>
    <col min="109" max="109" width="27.5703125" style="8" bestFit="1" customWidth="1"/>
    <col min="110" max="110" width="11.42578125" style="8"/>
    <col min="111" max="111" width="21.5703125" style="8" bestFit="1" customWidth="1"/>
    <col min="112" max="112" width="31.28515625" style="8" customWidth="1"/>
    <col min="113" max="113" width="11.42578125" style="8"/>
    <col min="114" max="114" width="31.140625" style="8" customWidth="1"/>
    <col min="115" max="115" width="24.42578125" style="8" customWidth="1"/>
    <col min="116" max="16384" width="11.42578125" style="8"/>
  </cols>
  <sheetData>
    <row r="1" spans="2:115" s="40" customFormat="1" x14ac:dyDescent="0.25"/>
    <row r="2" spans="2:115" ht="15" customHeight="1" x14ac:dyDescent="0.25">
      <c r="B2" s="187" t="s">
        <v>392</v>
      </c>
      <c r="C2" s="187"/>
      <c r="D2" s="187"/>
      <c r="G2" s="8"/>
    </row>
    <row r="3" spans="2:115" ht="15.75" customHeight="1" thickBot="1" x14ac:dyDescent="0.3">
      <c r="B3" s="187"/>
      <c r="C3" s="187"/>
      <c r="D3" s="187"/>
      <c r="F3" s="7"/>
      <c r="G3" s="7"/>
    </row>
    <row r="4" spans="2:115" ht="15" customHeight="1" x14ac:dyDescent="0.25">
      <c r="B4" s="187"/>
      <c r="C4" s="187"/>
      <c r="D4" s="187"/>
      <c r="F4" s="15" t="s">
        <v>0</v>
      </c>
      <c r="G4" s="16"/>
      <c r="I4" s="15" t="s">
        <v>1</v>
      </c>
      <c r="J4" s="16"/>
      <c r="L4" s="15" t="s">
        <v>2</v>
      </c>
      <c r="M4" s="16"/>
      <c r="O4" s="15" t="s">
        <v>3</v>
      </c>
      <c r="P4" s="16"/>
      <c r="R4" s="15" t="s">
        <v>4</v>
      </c>
      <c r="S4" s="16"/>
      <c r="U4" s="15" t="s">
        <v>5</v>
      </c>
      <c r="V4" s="16"/>
      <c r="X4" s="15" t="s">
        <v>7</v>
      </c>
      <c r="Y4" s="16"/>
      <c r="AA4" s="15" t="s">
        <v>8</v>
      </c>
      <c r="AB4" s="16"/>
      <c r="AD4" s="27" t="s">
        <v>9</v>
      </c>
      <c r="AE4" s="28"/>
      <c r="AG4" s="15" t="s">
        <v>10</v>
      </c>
      <c r="AH4" s="16"/>
      <c r="AJ4" s="15" t="s">
        <v>12</v>
      </c>
      <c r="AK4" s="16"/>
      <c r="AM4" s="15" t="s">
        <v>11</v>
      </c>
      <c r="AN4" s="16"/>
      <c r="AP4" s="15" t="s">
        <v>13</v>
      </c>
      <c r="AQ4" s="16"/>
      <c r="AS4" s="15" t="s">
        <v>15</v>
      </c>
      <c r="AT4" s="16"/>
      <c r="AV4" s="15" t="s">
        <v>16</v>
      </c>
      <c r="AW4" s="16"/>
      <c r="AY4" s="15" t="s">
        <v>17</v>
      </c>
      <c r="AZ4" s="16"/>
      <c r="BB4" s="15" t="s">
        <v>187</v>
      </c>
      <c r="BC4" s="16"/>
      <c r="BE4" s="15" t="s">
        <v>18</v>
      </c>
      <c r="BF4" s="16"/>
      <c r="BH4" s="15" t="s">
        <v>19</v>
      </c>
      <c r="BI4" s="16"/>
      <c r="BK4" s="15" t="s">
        <v>20</v>
      </c>
      <c r="BL4" s="16"/>
      <c r="BN4" s="15" t="s">
        <v>21</v>
      </c>
      <c r="BO4" s="16"/>
      <c r="BQ4" s="15" t="s">
        <v>22</v>
      </c>
      <c r="BR4" s="16"/>
      <c r="BT4" s="15" t="s">
        <v>23</v>
      </c>
      <c r="BU4" s="16"/>
      <c r="BW4" s="15" t="s">
        <v>24</v>
      </c>
      <c r="BX4" s="16"/>
      <c r="BZ4" s="15" t="s">
        <v>25</v>
      </c>
      <c r="CA4" s="16"/>
      <c r="CC4" s="15" t="s">
        <v>26</v>
      </c>
      <c r="CD4" s="16"/>
      <c r="CF4" s="15" t="s">
        <v>200</v>
      </c>
      <c r="CG4" s="16"/>
      <c r="CI4" s="15" t="s">
        <v>27</v>
      </c>
      <c r="CJ4" s="16"/>
      <c r="CL4" s="15" t="s">
        <v>28</v>
      </c>
      <c r="CM4" s="16"/>
      <c r="CO4" s="15" t="s">
        <v>29</v>
      </c>
      <c r="CP4" s="16"/>
      <c r="CR4" s="15" t="s">
        <v>30</v>
      </c>
      <c r="CS4" s="16"/>
      <c r="CU4" s="15" t="s">
        <v>31</v>
      </c>
      <c r="CV4" s="16"/>
      <c r="CX4" s="15" t="s">
        <v>32</v>
      </c>
      <c r="CY4" s="16"/>
      <c r="DA4" s="15" t="s">
        <v>33</v>
      </c>
      <c r="DB4" s="16"/>
      <c r="DD4" s="15" t="s">
        <v>35</v>
      </c>
      <c r="DE4" s="16"/>
      <c r="DG4" s="15" t="s">
        <v>220</v>
      </c>
      <c r="DH4" s="16"/>
      <c r="DJ4" s="15" t="s">
        <v>219</v>
      </c>
      <c r="DK4" s="115"/>
    </row>
    <row r="5" spans="2:115" ht="15" customHeight="1" x14ac:dyDescent="0.25">
      <c r="B5" s="187"/>
      <c r="C5" s="187"/>
      <c r="D5" s="187"/>
      <c r="F5" s="9"/>
      <c r="G5" s="10" t="s">
        <v>211</v>
      </c>
      <c r="I5" s="9"/>
      <c r="J5" s="10" t="s">
        <v>211</v>
      </c>
      <c r="L5" s="9"/>
      <c r="M5" s="10" t="s">
        <v>211</v>
      </c>
      <c r="O5" s="9"/>
      <c r="P5" s="10" t="s">
        <v>211</v>
      </c>
      <c r="R5" s="9"/>
      <c r="S5" s="10" t="s">
        <v>211</v>
      </c>
      <c r="U5" s="9"/>
      <c r="V5" s="10" t="s">
        <v>211</v>
      </c>
      <c r="X5" s="9"/>
      <c r="Y5" s="10" t="s">
        <v>211</v>
      </c>
      <c r="AA5" s="9"/>
      <c r="AB5" s="10" t="s">
        <v>211</v>
      </c>
      <c r="AD5" s="13"/>
      <c r="AE5" s="10" t="s">
        <v>211</v>
      </c>
      <c r="AG5" s="9"/>
      <c r="AH5" s="10" t="s">
        <v>211</v>
      </c>
      <c r="AJ5" s="9"/>
      <c r="AK5" s="10" t="s">
        <v>211</v>
      </c>
      <c r="AM5" s="9"/>
      <c r="AN5" s="10" t="s">
        <v>211</v>
      </c>
      <c r="AP5" s="9"/>
      <c r="AQ5" s="10" t="s">
        <v>211</v>
      </c>
      <c r="AS5" s="9"/>
      <c r="AT5" s="10" t="s">
        <v>211</v>
      </c>
      <c r="AV5" s="9"/>
      <c r="AW5" s="10" t="s">
        <v>211</v>
      </c>
      <c r="AY5" s="9"/>
      <c r="AZ5" s="10" t="s">
        <v>211</v>
      </c>
      <c r="BB5" s="100" t="s">
        <v>189</v>
      </c>
      <c r="BC5" s="10" t="s">
        <v>211</v>
      </c>
      <c r="BE5" s="9"/>
      <c r="BF5" s="10" t="s">
        <v>211</v>
      </c>
      <c r="BH5" s="9"/>
      <c r="BI5" s="10" t="s">
        <v>211</v>
      </c>
      <c r="BK5" s="9"/>
      <c r="BL5" s="10" t="s">
        <v>211</v>
      </c>
      <c r="BN5" s="9"/>
      <c r="BO5" s="10" t="s">
        <v>211</v>
      </c>
      <c r="BQ5" s="9"/>
      <c r="BR5" s="10" t="s">
        <v>211</v>
      </c>
      <c r="BT5" s="9"/>
      <c r="BU5" s="10" t="s">
        <v>211</v>
      </c>
      <c r="BW5" s="9"/>
      <c r="BX5" s="10" t="s">
        <v>211</v>
      </c>
      <c r="BZ5" s="9"/>
      <c r="CA5" s="10" t="s">
        <v>211</v>
      </c>
      <c r="CC5" s="9"/>
      <c r="CD5" s="10" t="s">
        <v>211</v>
      </c>
      <c r="CF5" s="9"/>
      <c r="CG5" s="10" t="s">
        <v>211</v>
      </c>
      <c r="CI5" s="9"/>
      <c r="CJ5" s="10" t="s">
        <v>211</v>
      </c>
      <c r="CL5" s="9"/>
      <c r="CM5" s="10" t="s">
        <v>211</v>
      </c>
      <c r="CO5" s="9"/>
      <c r="CP5" s="10" t="s">
        <v>211</v>
      </c>
      <c r="CR5" s="9"/>
      <c r="CS5" s="10" t="s">
        <v>211</v>
      </c>
      <c r="CU5" s="9"/>
      <c r="CV5" s="10" t="s">
        <v>211</v>
      </c>
      <c r="CX5" s="9"/>
      <c r="CY5" s="10" t="s">
        <v>211</v>
      </c>
      <c r="DA5" s="9"/>
      <c r="DB5" s="10" t="s">
        <v>211</v>
      </c>
      <c r="DD5" s="9"/>
      <c r="DE5" s="10" t="s">
        <v>211</v>
      </c>
      <c r="DG5" s="9"/>
      <c r="DH5" s="10" t="s">
        <v>211</v>
      </c>
      <c r="DJ5" s="9"/>
      <c r="DK5" s="10" t="s">
        <v>211</v>
      </c>
    </row>
    <row r="6" spans="2:115" ht="15.75" customHeight="1" thickBot="1" x14ac:dyDescent="0.3">
      <c r="B6" s="187"/>
      <c r="C6" s="187"/>
      <c r="D6" s="187"/>
      <c r="F6" s="11">
        <v>2013</v>
      </c>
      <c r="G6" s="32">
        <v>6719</v>
      </c>
      <c r="I6" s="11">
        <v>2013</v>
      </c>
      <c r="J6" s="114">
        <v>85</v>
      </c>
      <c r="L6" s="11">
        <v>2013</v>
      </c>
      <c r="M6" s="114">
        <v>433</v>
      </c>
      <c r="O6" s="11">
        <v>2013</v>
      </c>
      <c r="P6" s="114">
        <v>125</v>
      </c>
      <c r="R6" s="11">
        <v>2013</v>
      </c>
      <c r="S6" s="114">
        <v>81</v>
      </c>
      <c r="U6" s="11">
        <v>2013</v>
      </c>
      <c r="V6" s="114">
        <v>102</v>
      </c>
      <c r="X6" s="11">
        <v>2013</v>
      </c>
      <c r="Y6" s="114">
        <v>37</v>
      </c>
      <c r="AA6" s="11">
        <v>2013</v>
      </c>
      <c r="AB6" s="114">
        <v>14</v>
      </c>
      <c r="AD6" s="11">
        <v>2013</v>
      </c>
      <c r="AE6" s="114">
        <v>1</v>
      </c>
      <c r="AG6" s="11">
        <v>2013</v>
      </c>
      <c r="AH6" s="114">
        <v>222</v>
      </c>
      <c r="AJ6" s="11">
        <v>2013</v>
      </c>
      <c r="AK6" s="114">
        <v>43</v>
      </c>
      <c r="AM6" s="11">
        <v>2013</v>
      </c>
      <c r="AN6" s="114">
        <v>1372</v>
      </c>
      <c r="AP6" s="11">
        <v>2013</v>
      </c>
      <c r="AQ6" s="114">
        <v>1852</v>
      </c>
      <c r="AS6" s="11">
        <v>2013</v>
      </c>
      <c r="AT6" s="114">
        <v>1015</v>
      </c>
      <c r="AV6" s="11">
        <v>2013</v>
      </c>
      <c r="AW6" s="114">
        <v>0</v>
      </c>
      <c r="AY6" s="11">
        <v>2013</v>
      </c>
      <c r="AZ6" s="114">
        <v>71</v>
      </c>
      <c r="BB6" s="11">
        <v>2013</v>
      </c>
      <c r="BC6" s="114">
        <v>1</v>
      </c>
      <c r="BE6" s="11">
        <v>2013</v>
      </c>
      <c r="BF6" s="114">
        <v>0</v>
      </c>
      <c r="BH6" s="11">
        <v>2013</v>
      </c>
      <c r="BI6" s="114">
        <v>1269</v>
      </c>
      <c r="BK6" s="11">
        <v>2013</v>
      </c>
      <c r="BL6" s="114">
        <v>338</v>
      </c>
      <c r="BN6" s="11">
        <v>2013</v>
      </c>
      <c r="BO6" s="114">
        <v>67</v>
      </c>
      <c r="BQ6" s="11">
        <v>2013</v>
      </c>
      <c r="BR6" s="114">
        <v>3738</v>
      </c>
      <c r="BT6" s="11">
        <v>2013</v>
      </c>
      <c r="BU6" s="114">
        <v>28</v>
      </c>
      <c r="BW6" s="11">
        <v>2013</v>
      </c>
      <c r="BX6" s="114">
        <v>326</v>
      </c>
      <c r="BZ6" s="11">
        <v>2013</v>
      </c>
      <c r="CA6" s="114">
        <v>167</v>
      </c>
      <c r="CC6" s="11">
        <v>2013</v>
      </c>
      <c r="CD6" s="114">
        <v>1420</v>
      </c>
      <c r="CF6" s="11">
        <v>2013</v>
      </c>
      <c r="CG6" s="114">
        <v>13</v>
      </c>
      <c r="CI6" s="11">
        <v>2013</v>
      </c>
      <c r="CJ6" s="114">
        <v>7911</v>
      </c>
      <c r="CL6" s="11">
        <v>2013</v>
      </c>
      <c r="CM6" s="114">
        <v>4870</v>
      </c>
      <c r="CO6" s="11">
        <v>2013</v>
      </c>
      <c r="CP6" s="114">
        <v>3720</v>
      </c>
      <c r="CR6" s="11">
        <v>2013</v>
      </c>
      <c r="CS6" s="114">
        <v>1209</v>
      </c>
      <c r="CU6" s="11">
        <v>2013</v>
      </c>
      <c r="CV6" s="114">
        <v>1021</v>
      </c>
      <c r="CX6" s="11">
        <v>2013</v>
      </c>
      <c r="CY6" s="114">
        <v>856</v>
      </c>
      <c r="DA6" s="11">
        <v>2013</v>
      </c>
      <c r="DB6" s="114">
        <v>18</v>
      </c>
      <c r="DD6" s="11">
        <v>2013</v>
      </c>
      <c r="DE6" s="114">
        <v>196</v>
      </c>
      <c r="DG6" s="11">
        <v>2013</v>
      </c>
      <c r="DH6" s="114">
        <v>26281</v>
      </c>
      <c r="DJ6" s="104">
        <v>2013</v>
      </c>
      <c r="DK6" s="18">
        <v>268</v>
      </c>
    </row>
    <row r="7" spans="2:115" x14ac:dyDescent="0.25">
      <c r="G7" s="8"/>
    </row>
    <row r="8" spans="2:115" x14ac:dyDescent="0.25">
      <c r="E8" s="1"/>
      <c r="G8" s="8"/>
    </row>
    <row r="9" spans="2:115" x14ac:dyDescent="0.25">
      <c r="E9" s="1"/>
      <c r="G9" s="8"/>
    </row>
    <row r="10" spans="2:115" x14ac:dyDescent="0.25">
      <c r="E10" s="1"/>
      <c r="G10" s="8"/>
    </row>
    <row r="11" spans="2:115" x14ac:dyDescent="0.25">
      <c r="E11" s="1"/>
      <c r="G11" s="8"/>
    </row>
    <row r="12" spans="2:115" x14ac:dyDescent="0.25">
      <c r="E12" s="1"/>
      <c r="G12" s="8"/>
    </row>
    <row r="13" spans="2:115" x14ac:dyDescent="0.25">
      <c r="E13" s="1"/>
      <c r="G13" s="8"/>
    </row>
    <row r="14" spans="2:115" ht="60" customHeight="1" x14ac:dyDescent="0.25">
      <c r="E14" s="1"/>
      <c r="G14" s="8"/>
    </row>
    <row r="15" spans="2:115" x14ac:dyDescent="0.25">
      <c r="E15" s="1"/>
      <c r="G15" s="8"/>
    </row>
    <row r="16" spans="2:115" x14ac:dyDescent="0.25">
      <c r="E16" s="1"/>
      <c r="G16" s="8"/>
    </row>
    <row r="17" spans="2:8" s="40" customFormat="1" ht="336.75" customHeight="1" x14ac:dyDescent="0.25">
      <c r="E17" s="113"/>
    </row>
    <row r="18" spans="2:8" x14ac:dyDescent="0.25">
      <c r="E18" s="1"/>
      <c r="G18" s="8"/>
    </row>
    <row r="19" spans="2:8" x14ac:dyDescent="0.25">
      <c r="G19" s="8"/>
    </row>
    <row r="20" spans="2:8" ht="15.75" thickBot="1" x14ac:dyDescent="0.3">
      <c r="G20" s="8"/>
    </row>
    <row r="21" spans="2:8" ht="15.75" thickBot="1" x14ac:dyDescent="0.3">
      <c r="B21" s="36"/>
      <c r="C21" s="106" t="s">
        <v>221</v>
      </c>
      <c r="D21" s="80" t="s">
        <v>409</v>
      </c>
      <c r="E21" s="25"/>
      <c r="G21" s="8"/>
    </row>
    <row r="22" spans="2:8" ht="15.75" thickBot="1" x14ac:dyDescent="0.3">
      <c r="B22" s="53" t="s">
        <v>233</v>
      </c>
      <c r="C22" s="15" t="s">
        <v>219</v>
      </c>
      <c r="D22" s="22">
        <f ca="1">INDIRECT(CONCATENATE("T_Scopus!B",E22))</f>
        <v>268</v>
      </c>
      <c r="E22" s="124">
        <v>2</v>
      </c>
      <c r="G22" s="8"/>
    </row>
    <row r="23" spans="2:8" ht="15.75" thickBot="1" x14ac:dyDescent="0.3">
      <c r="B23" s="54" t="s">
        <v>233</v>
      </c>
      <c r="C23" s="15" t="s">
        <v>1</v>
      </c>
      <c r="D23" s="22">
        <f t="shared" ref="D23:D58" ca="1" si="0">INDIRECT(CONCATENATE("T_Scopus!B",E23))</f>
        <v>85</v>
      </c>
      <c r="E23" s="124">
        <v>3</v>
      </c>
      <c r="G23" s="8"/>
    </row>
    <row r="24" spans="2:8" ht="15.75" thickBot="1" x14ac:dyDescent="0.3">
      <c r="B24" s="54" t="s">
        <v>233</v>
      </c>
      <c r="C24" s="15" t="s">
        <v>2</v>
      </c>
      <c r="D24" s="22">
        <f t="shared" ca="1" si="0"/>
        <v>433</v>
      </c>
      <c r="E24" s="124">
        <v>4</v>
      </c>
      <c r="G24" s="8"/>
    </row>
    <row r="25" spans="2:8" ht="15.75" thickBot="1" x14ac:dyDescent="0.3">
      <c r="B25" s="54" t="s">
        <v>233</v>
      </c>
      <c r="C25" s="15" t="s">
        <v>3</v>
      </c>
      <c r="D25" s="22">
        <f t="shared" ca="1" si="0"/>
        <v>125</v>
      </c>
      <c r="E25" s="124">
        <v>5</v>
      </c>
      <c r="H25" s="2"/>
    </row>
    <row r="26" spans="2:8" ht="15.75" thickBot="1" x14ac:dyDescent="0.3">
      <c r="B26" s="54" t="s">
        <v>233</v>
      </c>
      <c r="C26" s="15" t="s">
        <v>4</v>
      </c>
      <c r="D26" s="22">
        <f t="shared" ca="1" si="0"/>
        <v>81</v>
      </c>
      <c r="E26" s="124">
        <v>6</v>
      </c>
      <c r="G26" s="8"/>
    </row>
    <row r="27" spans="2:8" ht="15.75" thickBot="1" x14ac:dyDescent="0.3">
      <c r="B27" s="54" t="s">
        <v>233</v>
      </c>
      <c r="C27" s="15" t="s">
        <v>5</v>
      </c>
      <c r="D27" s="22">
        <f t="shared" ca="1" si="0"/>
        <v>102</v>
      </c>
      <c r="E27" s="124">
        <v>7</v>
      </c>
      <c r="G27" s="8"/>
    </row>
    <row r="28" spans="2:8" ht="15.75" thickBot="1" x14ac:dyDescent="0.3">
      <c r="B28" s="54" t="s">
        <v>233</v>
      </c>
      <c r="C28" s="15" t="s">
        <v>7</v>
      </c>
      <c r="D28" s="22">
        <f t="shared" ca="1" si="0"/>
        <v>37</v>
      </c>
      <c r="E28" s="124">
        <v>8</v>
      </c>
      <c r="G28" s="8"/>
    </row>
    <row r="29" spans="2:8" ht="15.75" thickBot="1" x14ac:dyDescent="0.3">
      <c r="B29" s="54" t="s">
        <v>233</v>
      </c>
      <c r="C29" s="15" t="s">
        <v>8</v>
      </c>
      <c r="D29" s="22">
        <f t="shared" ca="1" si="0"/>
        <v>14</v>
      </c>
      <c r="E29" s="124">
        <v>9</v>
      </c>
      <c r="G29" s="8"/>
    </row>
    <row r="30" spans="2:8" ht="15.75" thickBot="1" x14ac:dyDescent="0.3">
      <c r="B30" s="54" t="s">
        <v>233</v>
      </c>
      <c r="C30" s="38" t="s">
        <v>9</v>
      </c>
      <c r="D30" s="22">
        <f t="shared" ca="1" si="0"/>
        <v>1</v>
      </c>
      <c r="E30" s="124">
        <v>10</v>
      </c>
      <c r="G30" s="8"/>
    </row>
    <row r="31" spans="2:8" ht="15.75" thickBot="1" x14ac:dyDescent="0.3">
      <c r="B31" s="54" t="s">
        <v>233</v>
      </c>
      <c r="C31" s="15" t="s">
        <v>10</v>
      </c>
      <c r="D31" s="22">
        <f t="shared" ca="1" si="0"/>
        <v>222</v>
      </c>
      <c r="E31" s="124">
        <v>11</v>
      </c>
    </row>
    <row r="32" spans="2:8" ht="15.75" thickBot="1" x14ac:dyDescent="0.3">
      <c r="B32" s="54" t="s">
        <v>233</v>
      </c>
      <c r="C32" s="15" t="s">
        <v>12</v>
      </c>
      <c r="D32" s="22">
        <f t="shared" ca="1" si="0"/>
        <v>43</v>
      </c>
      <c r="E32" s="124">
        <v>12</v>
      </c>
      <c r="G32" s="8"/>
    </row>
    <row r="33" spans="1:15" ht="15.75" thickBot="1" x14ac:dyDescent="0.3">
      <c r="B33" s="54" t="s">
        <v>233</v>
      </c>
      <c r="C33" s="15" t="s">
        <v>11</v>
      </c>
      <c r="D33" s="22">
        <f t="shared" ca="1" si="0"/>
        <v>1372</v>
      </c>
      <c r="E33" s="124">
        <v>13</v>
      </c>
      <c r="G33" s="8"/>
    </row>
    <row r="34" spans="1:15" ht="15.75" thickBot="1" x14ac:dyDescent="0.3">
      <c r="B34" s="54" t="s">
        <v>233</v>
      </c>
      <c r="C34" s="15" t="s">
        <v>19</v>
      </c>
      <c r="D34" s="22">
        <f t="shared" ca="1" si="0"/>
        <v>338</v>
      </c>
      <c r="E34" s="124">
        <v>14</v>
      </c>
      <c r="G34" s="8"/>
    </row>
    <row r="35" spans="1:15" ht="15.75" thickBot="1" x14ac:dyDescent="0.3">
      <c r="B35" s="55" t="s">
        <v>235</v>
      </c>
      <c r="C35" s="15" t="s">
        <v>13</v>
      </c>
      <c r="D35" s="22">
        <f t="shared" ca="1" si="0"/>
        <v>1852</v>
      </c>
      <c r="E35" s="124">
        <v>15</v>
      </c>
      <c r="G35" s="8"/>
    </row>
    <row r="36" spans="1:15" ht="15.75" thickBot="1" x14ac:dyDescent="0.3">
      <c r="B36" s="55" t="s">
        <v>235</v>
      </c>
      <c r="C36" s="15" t="s">
        <v>15</v>
      </c>
      <c r="D36" s="22">
        <f t="shared" ca="1" si="0"/>
        <v>1015</v>
      </c>
      <c r="E36" s="124">
        <v>16</v>
      </c>
      <c r="G36" s="8"/>
    </row>
    <row r="37" spans="1:15" ht="15.75" thickBot="1" x14ac:dyDescent="0.3">
      <c r="B37" s="55" t="s">
        <v>235</v>
      </c>
      <c r="C37" s="15" t="s">
        <v>16</v>
      </c>
      <c r="D37" s="22">
        <f t="shared" ca="1" si="0"/>
        <v>0</v>
      </c>
      <c r="E37" s="124">
        <v>17</v>
      </c>
      <c r="G37" s="8"/>
    </row>
    <row r="38" spans="1:15" ht="15.75" thickBot="1" x14ac:dyDescent="0.3">
      <c r="B38" s="55" t="s">
        <v>235</v>
      </c>
      <c r="C38" s="15" t="s">
        <v>17</v>
      </c>
      <c r="D38" s="22">
        <f t="shared" ca="1" si="0"/>
        <v>71</v>
      </c>
      <c r="E38" s="124">
        <v>18</v>
      </c>
      <c r="F38" s="2"/>
    </row>
    <row r="39" spans="1:15" ht="15.75" thickBot="1" x14ac:dyDescent="0.3">
      <c r="B39" s="55" t="s">
        <v>235</v>
      </c>
      <c r="C39" s="15" t="s">
        <v>187</v>
      </c>
      <c r="D39" s="22">
        <f t="shared" ca="1" si="0"/>
        <v>1</v>
      </c>
      <c r="E39" s="124">
        <v>19</v>
      </c>
      <c r="G39" s="8"/>
    </row>
    <row r="40" spans="1:15" ht="15.75" thickBot="1" x14ac:dyDescent="0.3">
      <c r="B40" s="55" t="s">
        <v>235</v>
      </c>
      <c r="C40" s="15" t="s">
        <v>18</v>
      </c>
      <c r="D40" s="22">
        <f t="shared" ca="1" si="0"/>
        <v>0</v>
      </c>
      <c r="E40" s="124">
        <v>20</v>
      </c>
      <c r="G40" s="8"/>
    </row>
    <row r="41" spans="1:15" ht="15.75" thickBot="1" x14ac:dyDescent="0.3">
      <c r="B41" s="56" t="s">
        <v>234</v>
      </c>
      <c r="C41" s="15" t="s">
        <v>20</v>
      </c>
      <c r="D41" s="22">
        <f t="shared" ca="1" si="0"/>
        <v>338</v>
      </c>
      <c r="E41" s="124">
        <v>21</v>
      </c>
      <c r="G41" s="8"/>
    </row>
    <row r="42" spans="1:15" ht="15.75" thickBot="1" x14ac:dyDescent="0.3">
      <c r="B42" s="56" t="s">
        <v>234</v>
      </c>
      <c r="C42" s="15" t="s">
        <v>21</v>
      </c>
      <c r="D42" s="22">
        <f t="shared" ca="1" si="0"/>
        <v>67</v>
      </c>
      <c r="E42" s="124">
        <v>22</v>
      </c>
      <c r="G42" s="8"/>
    </row>
    <row r="43" spans="1:15" ht="15.75" thickBot="1" x14ac:dyDescent="0.3">
      <c r="B43" s="56" t="s">
        <v>234</v>
      </c>
      <c r="C43" s="15" t="s">
        <v>22</v>
      </c>
      <c r="D43" s="22">
        <f t="shared" ca="1" si="0"/>
        <v>3738</v>
      </c>
      <c r="E43" s="124">
        <v>23</v>
      </c>
      <c r="G43" s="8"/>
    </row>
    <row r="44" spans="1:15" ht="15.75" thickBot="1" x14ac:dyDescent="0.3">
      <c r="B44" s="56" t="s">
        <v>234</v>
      </c>
      <c r="C44" s="15" t="s">
        <v>23</v>
      </c>
      <c r="D44" s="22">
        <f t="shared" ca="1" si="0"/>
        <v>28</v>
      </c>
      <c r="E44" s="124">
        <v>24</v>
      </c>
      <c r="F44" s="1"/>
    </row>
    <row r="45" spans="1:15" ht="15.75" thickBot="1" x14ac:dyDescent="0.3">
      <c r="B45" s="56" t="s">
        <v>234</v>
      </c>
      <c r="C45" s="15" t="s">
        <v>24</v>
      </c>
      <c r="D45" s="22">
        <f t="shared" ca="1" si="0"/>
        <v>326</v>
      </c>
      <c r="E45" s="124">
        <v>25</v>
      </c>
      <c r="G45" s="8"/>
    </row>
    <row r="46" spans="1:15" ht="15.75" thickBot="1" x14ac:dyDescent="0.3">
      <c r="B46" s="56" t="s">
        <v>234</v>
      </c>
      <c r="C46" s="15" t="s">
        <v>25</v>
      </c>
      <c r="D46" s="22">
        <f t="shared" ca="1" si="0"/>
        <v>167</v>
      </c>
      <c r="E46" s="124">
        <v>26</v>
      </c>
      <c r="G46" s="8"/>
    </row>
    <row r="47" spans="1:15" s="6" customFormat="1" ht="15.75" thickBot="1" x14ac:dyDescent="0.3">
      <c r="A47" s="8"/>
      <c r="B47" s="57" t="s">
        <v>236</v>
      </c>
      <c r="C47" s="15" t="s">
        <v>26</v>
      </c>
      <c r="D47" s="22">
        <f t="shared" ca="1" si="0"/>
        <v>1420</v>
      </c>
      <c r="E47" s="124">
        <v>27</v>
      </c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5" s="6" customFormat="1" ht="15.75" thickBot="1" x14ac:dyDescent="0.3">
      <c r="A48" s="8"/>
      <c r="B48" s="57" t="s">
        <v>236</v>
      </c>
      <c r="C48" s="15" t="s">
        <v>200</v>
      </c>
      <c r="D48" s="22">
        <f t="shared" ca="1" si="0"/>
        <v>13</v>
      </c>
      <c r="E48" s="124">
        <v>28</v>
      </c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5" s="6" customFormat="1" ht="15.75" thickBot="1" x14ac:dyDescent="0.3">
      <c r="A49" s="8"/>
      <c r="B49" s="57" t="s">
        <v>236</v>
      </c>
      <c r="C49" s="15" t="s">
        <v>27</v>
      </c>
      <c r="D49" s="22">
        <f t="shared" ca="1" si="0"/>
        <v>7911</v>
      </c>
      <c r="E49" s="124">
        <v>29</v>
      </c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s="6" customFormat="1" ht="15.75" thickBot="1" x14ac:dyDescent="0.3">
      <c r="A50" s="8"/>
      <c r="B50" s="57" t="s">
        <v>236</v>
      </c>
      <c r="C50" s="15" t="s">
        <v>28</v>
      </c>
      <c r="D50" s="22">
        <f t="shared" ca="1" si="0"/>
        <v>4870</v>
      </c>
      <c r="E50" s="124">
        <v>30</v>
      </c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5" s="6" customFormat="1" ht="15.75" thickBot="1" x14ac:dyDescent="0.3">
      <c r="A51" s="8"/>
      <c r="B51" s="57" t="s">
        <v>236</v>
      </c>
      <c r="C51" s="15" t="s">
        <v>29</v>
      </c>
      <c r="D51" s="22">
        <f t="shared" ca="1" si="0"/>
        <v>3720</v>
      </c>
      <c r="E51" s="124">
        <v>31</v>
      </c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15" s="6" customFormat="1" ht="15.75" thickBot="1" x14ac:dyDescent="0.3">
      <c r="A52" s="8"/>
      <c r="B52" s="57" t="s">
        <v>236</v>
      </c>
      <c r="C52" s="15" t="s">
        <v>30</v>
      </c>
      <c r="D52" s="22">
        <f t="shared" ca="1" si="0"/>
        <v>1209</v>
      </c>
      <c r="E52" s="124">
        <v>32</v>
      </c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15" s="6" customFormat="1" ht="15.75" thickBot="1" x14ac:dyDescent="0.3">
      <c r="A53" s="8"/>
      <c r="B53" s="57" t="s">
        <v>236</v>
      </c>
      <c r="C53" s="15" t="s">
        <v>31</v>
      </c>
      <c r="D53" s="22">
        <f t="shared" ca="1" si="0"/>
        <v>1021</v>
      </c>
      <c r="E53" s="124">
        <v>33</v>
      </c>
      <c r="F53" s="8"/>
      <c r="G53" s="8"/>
      <c r="H53" s="8"/>
      <c r="I53" s="8"/>
      <c r="J53" s="8"/>
      <c r="K53" s="8"/>
      <c r="L53" s="8"/>
      <c r="M53" s="8"/>
      <c r="N53" s="8"/>
      <c r="O53" s="8"/>
    </row>
    <row r="54" spans="1:15" ht="15.75" thickBot="1" x14ac:dyDescent="0.3">
      <c r="B54" s="57" t="s">
        <v>236</v>
      </c>
      <c r="C54" s="15" t="s">
        <v>32</v>
      </c>
      <c r="D54" s="22">
        <f t="shared" ca="1" si="0"/>
        <v>856</v>
      </c>
      <c r="E54" s="124">
        <v>34</v>
      </c>
    </row>
    <row r="55" spans="1:15" s="6" customFormat="1" ht="15.75" thickBot="1" x14ac:dyDescent="0.3">
      <c r="A55" s="8"/>
      <c r="B55" s="57" t="s">
        <v>236</v>
      </c>
      <c r="C55" s="15" t="s">
        <v>33</v>
      </c>
      <c r="D55" s="22">
        <f t="shared" ca="1" si="0"/>
        <v>18</v>
      </c>
      <c r="E55" s="124">
        <v>35</v>
      </c>
      <c r="F55" s="1"/>
      <c r="H55" s="8"/>
      <c r="I55" s="8"/>
      <c r="J55" s="8"/>
      <c r="K55" s="8"/>
      <c r="L55" s="8"/>
      <c r="M55" s="8"/>
      <c r="N55" s="8"/>
      <c r="O55" s="8"/>
    </row>
    <row r="56" spans="1:15" ht="15.75" thickBot="1" x14ac:dyDescent="0.3">
      <c r="B56" s="57" t="s">
        <v>236</v>
      </c>
      <c r="C56" s="15" t="s">
        <v>35</v>
      </c>
      <c r="D56" s="22">
        <f t="shared" ca="1" si="0"/>
        <v>196</v>
      </c>
      <c r="E56" s="124">
        <v>36</v>
      </c>
    </row>
    <row r="57" spans="1:15" ht="15.75" thickBot="1" x14ac:dyDescent="0.3">
      <c r="B57" s="57" t="s">
        <v>236</v>
      </c>
      <c r="C57" s="15" t="s">
        <v>220</v>
      </c>
      <c r="D57" s="22">
        <f t="shared" ca="1" si="0"/>
        <v>268</v>
      </c>
      <c r="E57" s="124">
        <v>37</v>
      </c>
    </row>
    <row r="58" spans="1:15" ht="15.75" thickBot="1" x14ac:dyDescent="0.3">
      <c r="B58" s="58" t="s">
        <v>236</v>
      </c>
      <c r="C58" s="47" t="s">
        <v>0</v>
      </c>
      <c r="D58" s="22">
        <f t="shared" ca="1" si="0"/>
        <v>6719</v>
      </c>
      <c r="E58" s="124">
        <v>38</v>
      </c>
    </row>
    <row r="64" spans="1:15" ht="15.75" thickBot="1" x14ac:dyDescent="0.3"/>
    <row r="65" spans="2:4" ht="18.75" x14ac:dyDescent="0.3">
      <c r="B65" s="188" t="s">
        <v>371</v>
      </c>
      <c r="C65" s="190"/>
      <c r="D65" s="189"/>
    </row>
    <row r="66" spans="2:4" ht="30" customHeight="1" thickBot="1" x14ac:dyDescent="0.3">
      <c r="B66" s="60" t="s">
        <v>240</v>
      </c>
      <c r="C66" s="43" t="s">
        <v>221</v>
      </c>
      <c r="D66" s="64" t="s">
        <v>372</v>
      </c>
    </row>
    <row r="67" spans="2:4" ht="15.75" thickBot="1" x14ac:dyDescent="0.3">
      <c r="B67" s="9" t="s">
        <v>236</v>
      </c>
      <c r="C67" s="15" t="s">
        <v>27</v>
      </c>
      <c r="D67" s="116">
        <f ca="1">$D$49</f>
        <v>7911</v>
      </c>
    </row>
    <row r="68" spans="2:4" ht="15.75" thickBot="1" x14ac:dyDescent="0.3">
      <c r="B68" s="9" t="s">
        <v>236</v>
      </c>
      <c r="C68" s="15" t="s">
        <v>0</v>
      </c>
      <c r="D68" s="116">
        <f ca="1">$D$58</f>
        <v>6719</v>
      </c>
    </row>
    <row r="69" spans="2:4" ht="15.75" thickBot="1" x14ac:dyDescent="0.3">
      <c r="B69" s="9" t="s">
        <v>236</v>
      </c>
      <c r="C69" s="15" t="s">
        <v>28</v>
      </c>
      <c r="D69" s="116">
        <f ca="1">$D$50</f>
        <v>4870</v>
      </c>
    </row>
    <row r="70" spans="2:4" ht="15.75" thickBot="1" x14ac:dyDescent="0.3">
      <c r="B70" s="9" t="s">
        <v>234</v>
      </c>
      <c r="C70" s="15" t="s">
        <v>22</v>
      </c>
      <c r="D70" s="116">
        <f ca="1">$D$43</f>
        <v>3738</v>
      </c>
    </row>
    <row r="71" spans="2:4" ht="15.75" thickBot="1" x14ac:dyDescent="0.3">
      <c r="B71" s="9" t="s">
        <v>236</v>
      </c>
      <c r="C71" s="15" t="s">
        <v>29</v>
      </c>
      <c r="D71" s="116">
        <f ca="1">$D$51</f>
        <v>3720</v>
      </c>
    </row>
    <row r="72" spans="2:4" ht="15.75" thickBot="1" x14ac:dyDescent="0.3">
      <c r="B72" s="9" t="s">
        <v>235</v>
      </c>
      <c r="C72" s="15" t="s">
        <v>13</v>
      </c>
      <c r="D72" s="116">
        <f ca="1">$D$35</f>
        <v>1852</v>
      </c>
    </row>
    <row r="73" spans="2:4" ht="15.75" thickBot="1" x14ac:dyDescent="0.3">
      <c r="B73" s="9" t="s">
        <v>236</v>
      </c>
      <c r="C73" s="15" t="s">
        <v>26</v>
      </c>
      <c r="D73" s="116">
        <f ca="1">$D$47</f>
        <v>1420</v>
      </c>
    </row>
    <row r="74" spans="2:4" ht="15.75" thickBot="1" x14ac:dyDescent="0.3">
      <c r="B74" s="9" t="s">
        <v>233</v>
      </c>
      <c r="C74" s="15" t="s">
        <v>11</v>
      </c>
      <c r="D74" s="116">
        <f ca="1">$D$33</f>
        <v>1372</v>
      </c>
    </row>
    <row r="75" spans="2:4" ht="15.75" thickBot="1" x14ac:dyDescent="0.3">
      <c r="B75" s="9" t="s">
        <v>236</v>
      </c>
      <c r="C75" s="15" t="s">
        <v>30</v>
      </c>
      <c r="D75" s="116">
        <f ca="1">$D$52</f>
        <v>1209</v>
      </c>
    </row>
    <row r="76" spans="2:4" ht="15.75" thickBot="1" x14ac:dyDescent="0.3">
      <c r="B76" s="9" t="s">
        <v>236</v>
      </c>
      <c r="C76" s="15" t="s">
        <v>31</v>
      </c>
      <c r="D76" s="116">
        <f ca="1">$D$53</f>
        <v>1021</v>
      </c>
    </row>
    <row r="77" spans="2:4" ht="15.75" thickBot="1" x14ac:dyDescent="0.3">
      <c r="B77" s="9" t="s">
        <v>235</v>
      </c>
      <c r="C77" s="15" t="s">
        <v>15</v>
      </c>
      <c r="D77" s="116">
        <f ca="1">$D$36</f>
        <v>1015</v>
      </c>
    </row>
    <row r="78" spans="2:4" ht="15.75" thickBot="1" x14ac:dyDescent="0.3">
      <c r="B78" s="9" t="s">
        <v>236</v>
      </c>
      <c r="C78" s="15" t="s">
        <v>32</v>
      </c>
      <c r="D78" s="116">
        <f ca="1">$D$54</f>
        <v>856</v>
      </c>
    </row>
    <row r="79" spans="2:4" ht="15.75" thickBot="1" x14ac:dyDescent="0.3">
      <c r="B79" s="9" t="s">
        <v>233</v>
      </c>
      <c r="C79" s="15" t="s">
        <v>2</v>
      </c>
      <c r="D79" s="116">
        <f ca="1">$D$24</f>
        <v>433</v>
      </c>
    </row>
    <row r="80" spans="2:4" ht="15.75" thickBot="1" x14ac:dyDescent="0.3">
      <c r="B80" s="9" t="s">
        <v>234</v>
      </c>
      <c r="C80" s="15" t="s">
        <v>20</v>
      </c>
      <c r="D80" s="116">
        <f ca="1">$D$41</f>
        <v>338</v>
      </c>
    </row>
    <row r="81" spans="2:4" ht="15.75" thickBot="1" x14ac:dyDescent="0.3">
      <c r="B81" s="9" t="s">
        <v>233</v>
      </c>
      <c r="C81" s="15" t="s">
        <v>19</v>
      </c>
      <c r="D81" s="116">
        <f ca="1">$D$34</f>
        <v>338</v>
      </c>
    </row>
    <row r="82" spans="2:4" ht="15.75" thickBot="1" x14ac:dyDescent="0.3">
      <c r="B82" s="9" t="s">
        <v>234</v>
      </c>
      <c r="C82" s="15" t="s">
        <v>24</v>
      </c>
      <c r="D82" s="116">
        <f ca="1">$D$45</f>
        <v>326</v>
      </c>
    </row>
    <row r="83" spans="2:4" ht="15.75" thickBot="1" x14ac:dyDescent="0.3">
      <c r="B83" s="9" t="s">
        <v>236</v>
      </c>
      <c r="C83" s="15" t="s">
        <v>220</v>
      </c>
      <c r="D83" s="116">
        <f ca="1">$D$57</f>
        <v>268</v>
      </c>
    </row>
    <row r="84" spans="2:4" ht="15.75" thickBot="1" x14ac:dyDescent="0.3">
      <c r="B84" s="9" t="s">
        <v>233</v>
      </c>
      <c r="C84" s="15" t="s">
        <v>219</v>
      </c>
      <c r="D84" s="116">
        <f ca="1">$D$22</f>
        <v>268</v>
      </c>
    </row>
    <row r="85" spans="2:4" ht="15.75" thickBot="1" x14ac:dyDescent="0.3">
      <c r="B85" s="9" t="s">
        <v>233</v>
      </c>
      <c r="C85" s="15" t="s">
        <v>10</v>
      </c>
      <c r="D85" s="116">
        <f ca="1">$D$31</f>
        <v>222</v>
      </c>
    </row>
    <row r="86" spans="2:4" ht="15.75" thickBot="1" x14ac:dyDescent="0.3">
      <c r="B86" s="9" t="s">
        <v>236</v>
      </c>
      <c r="C86" s="15" t="s">
        <v>35</v>
      </c>
      <c r="D86" s="116">
        <f ca="1">$D$56</f>
        <v>196</v>
      </c>
    </row>
    <row r="87" spans="2:4" ht="15.75" thickBot="1" x14ac:dyDescent="0.3">
      <c r="B87" s="9" t="s">
        <v>234</v>
      </c>
      <c r="C87" s="15" t="s">
        <v>25</v>
      </c>
      <c r="D87" s="116">
        <f ca="1">$D$46</f>
        <v>167</v>
      </c>
    </row>
    <row r="88" spans="2:4" ht="15.75" thickBot="1" x14ac:dyDescent="0.3">
      <c r="B88" s="9" t="s">
        <v>233</v>
      </c>
      <c r="C88" s="15" t="s">
        <v>3</v>
      </c>
      <c r="D88" s="116">
        <f ca="1">$D$25</f>
        <v>125</v>
      </c>
    </row>
    <row r="89" spans="2:4" ht="15.75" thickBot="1" x14ac:dyDescent="0.3">
      <c r="B89" s="9" t="s">
        <v>233</v>
      </c>
      <c r="C89" s="15" t="s">
        <v>5</v>
      </c>
      <c r="D89" s="116">
        <f ca="1">$D$27</f>
        <v>102</v>
      </c>
    </row>
    <row r="90" spans="2:4" ht="15.75" thickBot="1" x14ac:dyDescent="0.3">
      <c r="B90" s="9" t="s">
        <v>233</v>
      </c>
      <c r="C90" s="15" t="s">
        <v>1</v>
      </c>
      <c r="D90" s="116">
        <f ca="1">$D$23</f>
        <v>85</v>
      </c>
    </row>
    <row r="91" spans="2:4" ht="15.75" thickBot="1" x14ac:dyDescent="0.3">
      <c r="B91" s="9" t="s">
        <v>233</v>
      </c>
      <c r="C91" s="15" t="s">
        <v>4</v>
      </c>
      <c r="D91" s="116">
        <f ca="1">$D$26</f>
        <v>81</v>
      </c>
    </row>
    <row r="92" spans="2:4" ht="15.75" thickBot="1" x14ac:dyDescent="0.3">
      <c r="B92" s="9" t="s">
        <v>235</v>
      </c>
      <c r="C92" s="15" t="s">
        <v>17</v>
      </c>
      <c r="D92" s="116">
        <f ca="1">$D$38</f>
        <v>71</v>
      </c>
    </row>
    <row r="93" spans="2:4" ht="15.75" thickBot="1" x14ac:dyDescent="0.3">
      <c r="B93" s="9" t="s">
        <v>234</v>
      </c>
      <c r="C93" s="15" t="s">
        <v>21</v>
      </c>
      <c r="D93" s="116">
        <f ca="1">$D$42</f>
        <v>67</v>
      </c>
    </row>
    <row r="94" spans="2:4" ht="15.75" thickBot="1" x14ac:dyDescent="0.3">
      <c r="B94" s="9" t="s">
        <v>233</v>
      </c>
      <c r="C94" s="15" t="s">
        <v>12</v>
      </c>
      <c r="D94" s="116">
        <f ca="1">$D$32</f>
        <v>43</v>
      </c>
    </row>
    <row r="95" spans="2:4" ht="15.75" thickBot="1" x14ac:dyDescent="0.3">
      <c r="B95" s="9" t="s">
        <v>233</v>
      </c>
      <c r="C95" s="15" t="s">
        <v>7</v>
      </c>
      <c r="D95" s="116">
        <f ca="1">$D$28</f>
        <v>37</v>
      </c>
    </row>
    <row r="96" spans="2:4" ht="15.75" thickBot="1" x14ac:dyDescent="0.3">
      <c r="B96" s="9" t="s">
        <v>234</v>
      </c>
      <c r="C96" s="15" t="s">
        <v>23</v>
      </c>
      <c r="D96" s="116">
        <f ca="1">$D$44</f>
        <v>28</v>
      </c>
    </row>
    <row r="97" spans="2:8" ht="15.75" thickBot="1" x14ac:dyDescent="0.3">
      <c r="B97" s="9" t="s">
        <v>236</v>
      </c>
      <c r="C97" s="15" t="s">
        <v>33</v>
      </c>
      <c r="D97" s="116">
        <f ca="1">$D$55</f>
        <v>18</v>
      </c>
    </row>
    <row r="98" spans="2:8" ht="15.75" thickBot="1" x14ac:dyDescent="0.3">
      <c r="B98" s="9" t="s">
        <v>233</v>
      </c>
      <c r="C98" s="15" t="s">
        <v>8</v>
      </c>
      <c r="D98" s="116">
        <f ca="1">$D$29</f>
        <v>14</v>
      </c>
    </row>
    <row r="99" spans="2:8" ht="15.75" thickBot="1" x14ac:dyDescent="0.3">
      <c r="B99" s="9" t="s">
        <v>236</v>
      </c>
      <c r="C99" s="15" t="s">
        <v>200</v>
      </c>
      <c r="D99" s="116">
        <f ca="1">$D$48</f>
        <v>13</v>
      </c>
    </row>
    <row r="100" spans="2:8" ht="15.75" thickBot="1" x14ac:dyDescent="0.3">
      <c r="B100" s="9" t="s">
        <v>233</v>
      </c>
      <c r="C100" s="38" t="s">
        <v>9</v>
      </c>
      <c r="D100" s="116">
        <f ca="1">$D$30</f>
        <v>1</v>
      </c>
    </row>
    <row r="101" spans="2:8" ht="15.75" thickBot="1" x14ac:dyDescent="0.3">
      <c r="B101" s="9" t="s">
        <v>235</v>
      </c>
      <c r="C101" s="15" t="s">
        <v>187</v>
      </c>
      <c r="D101" s="116">
        <f ca="1">$D$39</f>
        <v>1</v>
      </c>
    </row>
    <row r="102" spans="2:8" ht="15.75" thickBot="1" x14ac:dyDescent="0.3">
      <c r="B102" s="9" t="s">
        <v>235</v>
      </c>
      <c r="C102" s="15" t="s">
        <v>16</v>
      </c>
      <c r="D102" s="116">
        <f ca="1">$D$37</f>
        <v>0</v>
      </c>
    </row>
    <row r="103" spans="2:8" ht="15.75" thickBot="1" x14ac:dyDescent="0.3">
      <c r="B103" s="17" t="s">
        <v>235</v>
      </c>
      <c r="C103" s="47" t="s">
        <v>18</v>
      </c>
      <c r="D103" s="117">
        <f ca="1">$D$40</f>
        <v>0</v>
      </c>
    </row>
    <row r="107" spans="2:8" ht="15.75" thickBot="1" x14ac:dyDescent="0.3"/>
    <row r="108" spans="2:8" ht="19.5" thickBot="1" x14ac:dyDescent="0.35">
      <c r="C108" s="192" t="s">
        <v>393</v>
      </c>
      <c r="D108" s="193"/>
      <c r="E108" s="193"/>
      <c r="F108" s="193"/>
      <c r="G108" s="194"/>
    </row>
    <row r="109" spans="2:8" ht="30.75" thickBot="1" x14ac:dyDescent="0.3">
      <c r="B109" s="43" t="s">
        <v>240</v>
      </c>
      <c r="C109" s="71" t="s">
        <v>221</v>
      </c>
      <c r="D109" s="107" t="s">
        <v>373</v>
      </c>
      <c r="E109" s="108" t="s">
        <v>374</v>
      </c>
      <c r="F109" s="108" t="s">
        <v>228</v>
      </c>
      <c r="G109" s="108" t="s">
        <v>401</v>
      </c>
      <c r="H109" s="6"/>
    </row>
    <row r="110" spans="2:8" ht="15.75" thickBot="1" x14ac:dyDescent="0.3">
      <c r="C110" s="15"/>
      <c r="D110" s="32"/>
      <c r="E110" s="67"/>
      <c r="F110" s="14"/>
      <c r="G110" s="22"/>
      <c r="H110" s="6"/>
    </row>
    <row r="111" spans="2:8" ht="15.75" thickBot="1" x14ac:dyDescent="0.3">
      <c r="C111" s="15"/>
      <c r="D111" s="32"/>
      <c r="E111" s="67"/>
      <c r="F111" s="14"/>
      <c r="G111" s="22"/>
      <c r="H111" s="6"/>
    </row>
    <row r="112" spans="2:8" ht="15.75" thickBot="1" x14ac:dyDescent="0.3">
      <c r="C112" s="15"/>
      <c r="D112" s="32"/>
      <c r="E112" s="67"/>
      <c r="F112" s="14"/>
      <c r="G112" s="22"/>
      <c r="H112" s="6"/>
    </row>
    <row r="113" spans="2:8" ht="15.75" thickBot="1" x14ac:dyDescent="0.3">
      <c r="C113" s="15"/>
      <c r="D113" s="32"/>
      <c r="E113" s="67"/>
      <c r="F113" s="14"/>
      <c r="G113" s="22"/>
      <c r="H113" s="6"/>
    </row>
    <row r="114" spans="2:8" ht="15.75" thickBot="1" x14ac:dyDescent="0.3">
      <c r="C114" s="15"/>
      <c r="D114" s="32"/>
      <c r="E114" s="67"/>
      <c r="F114" s="14"/>
      <c r="G114" s="22"/>
      <c r="H114" s="6"/>
    </row>
    <row r="115" spans="2:8" ht="15.75" thickBot="1" x14ac:dyDescent="0.3">
      <c r="B115" s="8" t="str">
        <f t="shared" ref="B115:D141" si="1">B72</f>
        <v>Geopolitics &amp; regional</v>
      </c>
      <c r="C115" s="15" t="str">
        <f t="shared" si="1"/>
        <v>India growth</v>
      </c>
      <c r="D115" s="32">
        <f t="shared" ca="1" si="1"/>
        <v>1852</v>
      </c>
      <c r="E115" s="68">
        <f t="shared" ref="E115:E141" ca="1" si="2">(D115)/$D$149</f>
        <v>1</v>
      </c>
      <c r="F115" s="67">
        <f t="shared" ref="F115:F141" ca="1" si="3">100%-E115</f>
        <v>0</v>
      </c>
      <c r="G115" s="93">
        <f ca="1">((F115*4)/100%)+4</f>
        <v>4</v>
      </c>
    </row>
    <row r="116" spans="2:8" ht="15.75" thickBot="1" x14ac:dyDescent="0.3">
      <c r="B116" s="8" t="str">
        <f t="shared" si="1"/>
        <v>Vision &amp; technology</v>
      </c>
      <c r="C116" s="15" t="str">
        <f t="shared" si="1"/>
        <v>Sustainable cities</v>
      </c>
      <c r="D116" s="32">
        <f t="shared" ca="1" si="1"/>
        <v>1420</v>
      </c>
      <c r="E116" s="68">
        <f t="shared" ca="1" si="2"/>
        <v>0.76673866090712739</v>
      </c>
      <c r="F116" s="67">
        <f t="shared" ca="1" si="3"/>
        <v>0.23326133909287261</v>
      </c>
      <c r="G116" s="93">
        <f t="shared" ref="G116:G141" ca="1" si="4">((F116*4)/100%)+4</f>
        <v>4.9330453563714904</v>
      </c>
    </row>
    <row r="117" spans="2:8" ht="15.75" thickBot="1" x14ac:dyDescent="0.3">
      <c r="B117" s="8" t="str">
        <f t="shared" si="1"/>
        <v>Macroeconomic</v>
      </c>
      <c r="C117" s="15" t="str">
        <f t="shared" si="1"/>
        <v>Corruption</v>
      </c>
      <c r="D117" s="32">
        <f t="shared" ca="1" si="1"/>
        <v>1372</v>
      </c>
      <c r="E117" s="68">
        <f t="shared" ca="1" si="2"/>
        <v>0.74082073434125273</v>
      </c>
      <c r="F117" s="67">
        <f t="shared" ca="1" si="3"/>
        <v>0.25917926565874727</v>
      </c>
      <c r="G117" s="93">
        <f t="shared" ca="1" si="4"/>
        <v>5.0367170626349891</v>
      </c>
    </row>
    <row r="118" spans="2:8" ht="15.75" thickBot="1" x14ac:dyDescent="0.3">
      <c r="B118" s="8" t="str">
        <f t="shared" si="1"/>
        <v>Vision &amp; technology</v>
      </c>
      <c r="C118" s="15" t="str">
        <f t="shared" si="1"/>
        <v>Future mobility</v>
      </c>
      <c r="D118" s="32">
        <f t="shared" ca="1" si="1"/>
        <v>1209</v>
      </c>
      <c r="E118" s="68">
        <f t="shared" ca="1" si="2"/>
        <v>0.65280777537796975</v>
      </c>
      <c r="F118" s="67">
        <f t="shared" ca="1" si="3"/>
        <v>0.34719222462203025</v>
      </c>
      <c r="G118" s="93">
        <f t="shared" ca="1" si="4"/>
        <v>5.388768898488121</v>
      </c>
    </row>
    <row r="119" spans="2:8" ht="15.75" thickBot="1" x14ac:dyDescent="0.3">
      <c r="B119" s="8" t="str">
        <f t="shared" si="1"/>
        <v>Vision &amp; technology</v>
      </c>
      <c r="C119" s="15" t="str">
        <f t="shared" si="1"/>
        <v>Electricity storage</v>
      </c>
      <c r="D119" s="32">
        <f t="shared" ca="1" si="1"/>
        <v>1021</v>
      </c>
      <c r="E119" s="68">
        <f t="shared" ca="1" si="2"/>
        <v>0.55129589632829379</v>
      </c>
      <c r="F119" s="67">
        <f t="shared" ca="1" si="3"/>
        <v>0.44870410367170621</v>
      </c>
      <c r="G119" s="93">
        <f t="shared" ca="1" si="4"/>
        <v>5.7948164146868244</v>
      </c>
    </row>
    <row r="120" spans="2:8" ht="15.75" thickBot="1" x14ac:dyDescent="0.3">
      <c r="B120" s="8" t="str">
        <f t="shared" si="1"/>
        <v>Geopolitics &amp; regional</v>
      </c>
      <c r="C120" s="15" t="str">
        <f t="shared" si="1"/>
        <v>Brazil growth</v>
      </c>
      <c r="D120" s="32">
        <f t="shared" ca="1" si="1"/>
        <v>1015</v>
      </c>
      <c r="E120" s="68">
        <f t="shared" ca="1" si="2"/>
        <v>0.54805615550755937</v>
      </c>
      <c r="F120" s="67">
        <f t="shared" ca="1" si="3"/>
        <v>0.45194384449244063</v>
      </c>
      <c r="G120" s="93">
        <f t="shared" ca="1" si="4"/>
        <v>5.8077753779697625</v>
      </c>
    </row>
    <row r="121" spans="2:8" ht="15.75" thickBot="1" x14ac:dyDescent="0.3">
      <c r="B121" s="8" t="str">
        <f t="shared" si="1"/>
        <v>Vision &amp; technology</v>
      </c>
      <c r="C121" s="15" t="str">
        <f t="shared" si="1"/>
        <v>Hydro power</v>
      </c>
      <c r="D121" s="32">
        <f t="shared" ca="1" si="1"/>
        <v>856</v>
      </c>
      <c r="E121" s="68">
        <f t="shared" ca="1" si="2"/>
        <v>0.46220302375809935</v>
      </c>
      <c r="F121" s="67">
        <f t="shared" ca="1" si="3"/>
        <v>0.53779697624190059</v>
      </c>
      <c r="G121" s="93">
        <f t="shared" ca="1" si="4"/>
        <v>6.1511879049676024</v>
      </c>
    </row>
    <row r="122" spans="2:8" ht="15.75" thickBot="1" x14ac:dyDescent="0.3">
      <c r="B122" s="8" t="str">
        <f t="shared" si="1"/>
        <v>Macroeconomic</v>
      </c>
      <c r="C122" s="15" t="str">
        <f t="shared" si="1"/>
        <v>Large scale accidents</v>
      </c>
      <c r="D122" s="32">
        <f t="shared" ca="1" si="1"/>
        <v>433</v>
      </c>
      <c r="E122" s="68">
        <f t="shared" ca="1" si="2"/>
        <v>0.23380129589632828</v>
      </c>
      <c r="F122" s="67">
        <f t="shared" ca="1" si="3"/>
        <v>0.76619870410367175</v>
      </c>
      <c r="G122" s="93">
        <f t="shared" ca="1" si="4"/>
        <v>7.064794816414687</v>
      </c>
    </row>
    <row r="123" spans="2:8" ht="15.75" thickBot="1" x14ac:dyDescent="0.3">
      <c r="B123" s="8" t="str">
        <f t="shared" si="1"/>
        <v>Business environment</v>
      </c>
      <c r="C123" s="15" t="str">
        <f t="shared" si="1"/>
        <v>Trade barriers</v>
      </c>
      <c r="D123" s="32">
        <f t="shared" ca="1" si="1"/>
        <v>338</v>
      </c>
      <c r="E123" s="68">
        <f t="shared" ca="1" si="2"/>
        <v>0.18250539956803455</v>
      </c>
      <c r="F123" s="67">
        <f t="shared" ca="1" si="3"/>
        <v>0.81749460043196542</v>
      </c>
      <c r="G123" s="93">
        <f t="shared" ca="1" si="4"/>
        <v>7.2699784017278617</v>
      </c>
    </row>
    <row r="124" spans="2:8" ht="15.75" thickBot="1" x14ac:dyDescent="0.3">
      <c r="B124" s="8" t="str">
        <f t="shared" si="1"/>
        <v>Macroeconomic</v>
      </c>
      <c r="C124" s="15" t="str">
        <f t="shared" si="1"/>
        <v>Terrorism</v>
      </c>
      <c r="D124" s="32">
        <f t="shared" ca="1" si="1"/>
        <v>338</v>
      </c>
      <c r="E124" s="68">
        <f t="shared" ca="1" si="2"/>
        <v>0.18250539956803455</v>
      </c>
      <c r="F124" s="67">
        <f t="shared" ca="1" si="3"/>
        <v>0.81749460043196542</v>
      </c>
      <c r="G124" s="93">
        <f t="shared" ca="1" si="4"/>
        <v>7.2699784017278617</v>
      </c>
    </row>
    <row r="125" spans="2:8" ht="15.75" thickBot="1" x14ac:dyDescent="0.3">
      <c r="B125" s="8" t="str">
        <f t="shared" si="1"/>
        <v>Business environment</v>
      </c>
      <c r="C125" s="15" t="str">
        <f t="shared" si="1"/>
        <v>Energy subsidies</v>
      </c>
      <c r="D125" s="32">
        <f t="shared" ca="1" si="1"/>
        <v>326</v>
      </c>
      <c r="E125" s="68">
        <f t="shared" ca="1" si="2"/>
        <v>0.17602591792656588</v>
      </c>
      <c r="F125" s="67">
        <f t="shared" ca="1" si="3"/>
        <v>0.82397408207343414</v>
      </c>
      <c r="G125" s="93">
        <f t="shared" ca="1" si="4"/>
        <v>7.2958963282937361</v>
      </c>
    </row>
    <row r="126" spans="2:8" ht="15.75" thickBot="1" x14ac:dyDescent="0.3">
      <c r="B126" s="8" t="str">
        <f t="shared" si="1"/>
        <v>Vision &amp; technology</v>
      </c>
      <c r="C126" s="15" t="str">
        <f t="shared" si="1"/>
        <v>Energy Efficiency</v>
      </c>
      <c r="D126" s="32">
        <f t="shared" ca="1" si="1"/>
        <v>268</v>
      </c>
      <c r="E126" s="68">
        <f t="shared" ca="1" si="2"/>
        <v>0.1447084233261339</v>
      </c>
      <c r="F126" s="67">
        <f t="shared" ca="1" si="3"/>
        <v>0.85529157667386613</v>
      </c>
      <c r="G126" s="93">
        <f t="shared" ca="1" si="4"/>
        <v>7.421166306695465</v>
      </c>
    </row>
    <row r="127" spans="2:8" ht="15.75" thickBot="1" x14ac:dyDescent="0.3">
      <c r="B127" s="8" t="str">
        <f t="shared" si="1"/>
        <v>Macroeconomic</v>
      </c>
      <c r="C127" s="15" t="str">
        <f t="shared" si="1"/>
        <v>Global Recesion</v>
      </c>
      <c r="D127" s="32">
        <f t="shared" ca="1" si="1"/>
        <v>268</v>
      </c>
      <c r="E127" s="68">
        <f t="shared" ca="1" si="2"/>
        <v>0.1447084233261339</v>
      </c>
      <c r="F127" s="67">
        <f t="shared" ca="1" si="3"/>
        <v>0.85529157667386613</v>
      </c>
      <c r="G127" s="93">
        <f t="shared" ca="1" si="4"/>
        <v>7.421166306695465</v>
      </c>
    </row>
    <row r="128" spans="2:8" ht="15.75" thickBot="1" x14ac:dyDescent="0.3">
      <c r="B128" s="8" t="str">
        <f t="shared" si="1"/>
        <v>Macroeconomic</v>
      </c>
      <c r="C128" s="15" t="str">
        <f t="shared" si="1"/>
        <v>Energy poverty</v>
      </c>
      <c r="D128" s="32">
        <f t="shared" ca="1" si="1"/>
        <v>222</v>
      </c>
      <c r="E128" s="68">
        <f t="shared" ca="1" si="2"/>
        <v>0.11987041036717062</v>
      </c>
      <c r="F128" s="67">
        <f t="shared" ca="1" si="3"/>
        <v>0.88012958963282939</v>
      </c>
      <c r="G128" s="93">
        <f t="shared" ca="1" si="4"/>
        <v>7.5205183585313176</v>
      </c>
    </row>
    <row r="129" spans="2:8" ht="15.75" thickBot="1" x14ac:dyDescent="0.3">
      <c r="B129" s="8" t="str">
        <f t="shared" si="1"/>
        <v>Vision &amp; technology</v>
      </c>
      <c r="C129" s="15" t="str">
        <f t="shared" si="1"/>
        <v>Hydrogen economy</v>
      </c>
      <c r="D129" s="32">
        <f t="shared" ca="1" si="1"/>
        <v>196</v>
      </c>
      <c r="E129" s="68">
        <f t="shared" ca="1" si="2"/>
        <v>0.10583153347732181</v>
      </c>
      <c r="F129" s="67">
        <f t="shared" ca="1" si="3"/>
        <v>0.89416846652267823</v>
      </c>
      <c r="G129" s="93">
        <f t="shared" ca="1" si="4"/>
        <v>7.5766738660907134</v>
      </c>
    </row>
    <row r="130" spans="2:8" ht="15.75" thickBot="1" x14ac:dyDescent="0.3">
      <c r="B130" s="8" t="str">
        <f t="shared" si="1"/>
        <v>Business environment</v>
      </c>
      <c r="C130" s="15" t="str">
        <f t="shared" si="1"/>
        <v>New market players</v>
      </c>
      <c r="D130" s="32">
        <f t="shared" ca="1" si="1"/>
        <v>167</v>
      </c>
      <c r="E130" s="68">
        <f t="shared" ca="1" si="2"/>
        <v>9.0172786177105835E-2</v>
      </c>
      <c r="F130" s="67">
        <f t="shared" ca="1" si="3"/>
        <v>0.90982721382289422</v>
      </c>
      <c r="G130" s="93">
        <f t="shared" ca="1" si="4"/>
        <v>7.6393088552915769</v>
      </c>
    </row>
    <row r="131" spans="2:8" ht="15.75" thickBot="1" x14ac:dyDescent="0.3">
      <c r="B131" s="8" t="str">
        <f t="shared" si="1"/>
        <v>Macroeconomic</v>
      </c>
      <c r="C131" s="15" t="str">
        <f t="shared" si="1"/>
        <v>Capital market constraints</v>
      </c>
      <c r="D131" s="32">
        <f t="shared" ca="1" si="1"/>
        <v>125</v>
      </c>
      <c r="E131" s="68">
        <f t="shared" ca="1" si="2"/>
        <v>6.7494600431965437E-2</v>
      </c>
      <c r="F131" s="67">
        <f t="shared" ca="1" si="3"/>
        <v>0.93250539956803458</v>
      </c>
      <c r="G131" s="93">
        <f t="shared" ca="1" si="4"/>
        <v>7.7300215982721383</v>
      </c>
    </row>
    <row r="132" spans="2:8" ht="15.75" thickBot="1" x14ac:dyDescent="0.3">
      <c r="B132" s="8" t="str">
        <f t="shared" si="1"/>
        <v>Macroeconomic</v>
      </c>
      <c r="C132" s="15" t="str">
        <f t="shared" si="1"/>
        <v>Energy prices &amp; volatility</v>
      </c>
      <c r="D132" s="32">
        <f t="shared" ca="1" si="1"/>
        <v>102</v>
      </c>
      <c r="E132" s="68">
        <f t="shared" ca="1" si="2"/>
        <v>5.5075593952483799E-2</v>
      </c>
      <c r="F132" s="67">
        <f t="shared" ca="1" si="3"/>
        <v>0.94492440604751615</v>
      </c>
      <c r="G132" s="93">
        <f t="shared" ca="1" si="4"/>
        <v>7.7796976241900646</v>
      </c>
    </row>
    <row r="133" spans="2:8" ht="15.75" thickBot="1" x14ac:dyDescent="0.3">
      <c r="B133" s="8" t="str">
        <f t="shared" si="1"/>
        <v>Macroeconomic</v>
      </c>
      <c r="C133" s="15" t="str">
        <f t="shared" si="1"/>
        <v>Global climate framework uncertainty</v>
      </c>
      <c r="D133" s="32">
        <f t="shared" ca="1" si="1"/>
        <v>85</v>
      </c>
      <c r="E133" s="68">
        <f t="shared" ca="1" si="2"/>
        <v>4.5896328293736501E-2</v>
      </c>
      <c r="F133" s="67">
        <f t="shared" ca="1" si="3"/>
        <v>0.95410367170626353</v>
      </c>
      <c r="G133" s="93">
        <f t="shared" ca="1" si="4"/>
        <v>7.8164146868250537</v>
      </c>
    </row>
    <row r="134" spans="2:8" ht="15.75" thickBot="1" x14ac:dyDescent="0.3">
      <c r="B134" s="8" t="str">
        <f t="shared" si="1"/>
        <v>Macroeconomic</v>
      </c>
      <c r="C134" s="15" t="str">
        <f t="shared" si="1"/>
        <v>Commodity prices &amp; volatility</v>
      </c>
      <c r="D134" s="32">
        <f t="shared" ca="1" si="1"/>
        <v>81</v>
      </c>
      <c r="E134" s="68">
        <f t="shared" ca="1" si="2"/>
        <v>4.3736501079913608E-2</v>
      </c>
      <c r="F134" s="67">
        <f t="shared" ca="1" si="3"/>
        <v>0.95626349892008644</v>
      </c>
      <c r="G134" s="93">
        <f t="shared" ca="1" si="4"/>
        <v>7.8250539956803458</v>
      </c>
    </row>
    <row r="135" spans="2:8" ht="15.75" thickBot="1" x14ac:dyDescent="0.3">
      <c r="B135" s="8" t="str">
        <f t="shared" si="1"/>
        <v>Geopolitics &amp; regional</v>
      </c>
      <c r="C135" s="15" t="str">
        <f t="shared" si="1"/>
        <v>EU cohesion</v>
      </c>
      <c r="D135" s="32">
        <f t="shared" ca="1" si="1"/>
        <v>71</v>
      </c>
      <c r="E135" s="68">
        <f t="shared" ca="1" si="2"/>
        <v>3.8336933045356368E-2</v>
      </c>
      <c r="F135" s="67">
        <f t="shared" ca="1" si="3"/>
        <v>0.96166306695464365</v>
      </c>
      <c r="G135" s="93">
        <f t="shared" ca="1" si="4"/>
        <v>7.8466522678185751</v>
      </c>
    </row>
    <row r="136" spans="2:8" ht="15.75" thickBot="1" x14ac:dyDescent="0.3">
      <c r="B136" s="8" t="str">
        <f t="shared" si="1"/>
        <v>Business environment</v>
      </c>
      <c r="C136" s="15" t="str">
        <f t="shared" si="1"/>
        <v>Regional interconnection</v>
      </c>
      <c r="D136" s="32">
        <f t="shared" ca="1" si="1"/>
        <v>67</v>
      </c>
      <c r="E136" s="68">
        <f t="shared" ca="1" si="2"/>
        <v>3.6177105831533475E-2</v>
      </c>
      <c r="F136" s="67">
        <f t="shared" ca="1" si="3"/>
        <v>0.96382289416846656</v>
      </c>
      <c r="G136" s="93">
        <f t="shared" ca="1" si="4"/>
        <v>7.8552915766738662</v>
      </c>
    </row>
    <row r="137" spans="2:8" ht="15.75" thickBot="1" x14ac:dyDescent="0.3">
      <c r="B137" s="8" t="str">
        <f t="shared" si="1"/>
        <v>Macroeconomic</v>
      </c>
      <c r="C137" s="15" t="str">
        <f t="shared" si="1"/>
        <v xml:space="preserve">Energy affordability </v>
      </c>
      <c r="D137" s="32">
        <f t="shared" ca="1" si="1"/>
        <v>43</v>
      </c>
      <c r="E137" s="68">
        <f t="shared" ca="1" si="2"/>
        <v>2.3218142548596114E-2</v>
      </c>
      <c r="F137" s="67">
        <f t="shared" ca="1" si="3"/>
        <v>0.97678185745140389</v>
      </c>
      <c r="G137" s="93">
        <f t="shared" ca="1" si="4"/>
        <v>7.907127429805616</v>
      </c>
    </row>
    <row r="138" spans="2:8" ht="15.75" thickBot="1" x14ac:dyDescent="0.3">
      <c r="B138" s="8" t="str">
        <f t="shared" si="1"/>
        <v>Macroeconomic</v>
      </c>
      <c r="C138" s="15" t="str">
        <f t="shared" si="1"/>
        <v>Currency uncertainty</v>
      </c>
      <c r="D138" s="32">
        <f t="shared" ca="1" si="1"/>
        <v>37</v>
      </c>
      <c r="E138" s="68">
        <f t="shared" ca="1" si="2"/>
        <v>1.9978401727861771E-2</v>
      </c>
      <c r="F138" s="67">
        <f t="shared" ca="1" si="3"/>
        <v>0.98002159827213819</v>
      </c>
      <c r="G138" s="93">
        <f t="shared" ca="1" si="4"/>
        <v>7.9200863930885532</v>
      </c>
    </row>
    <row r="139" spans="2:8" ht="15.75" thickBot="1" x14ac:dyDescent="0.3">
      <c r="B139" s="8" t="str">
        <f t="shared" si="1"/>
        <v>Business environment</v>
      </c>
      <c r="C139" s="15" t="str">
        <f t="shared" si="1"/>
        <v>Innovative market design &amp; policies</v>
      </c>
      <c r="D139" s="32">
        <f t="shared" ca="1" si="1"/>
        <v>28</v>
      </c>
      <c r="E139" s="68">
        <f t="shared" ca="1" si="2"/>
        <v>1.511879049676026E-2</v>
      </c>
      <c r="F139" s="67">
        <f t="shared" ca="1" si="3"/>
        <v>0.98488120950323976</v>
      </c>
      <c r="G139" s="93">
        <f t="shared" ca="1" si="4"/>
        <v>7.9395248380129591</v>
      </c>
    </row>
    <row r="140" spans="2:8" ht="15.75" thickBot="1" x14ac:dyDescent="0.3">
      <c r="B140" s="8" t="str">
        <f t="shared" si="1"/>
        <v>Vision &amp; technology</v>
      </c>
      <c r="C140" s="15" t="str">
        <f t="shared" si="1"/>
        <v>Unconventional fossil fuels</v>
      </c>
      <c r="D140" s="32">
        <f t="shared" ca="1" si="1"/>
        <v>18</v>
      </c>
      <c r="E140" s="68">
        <f t="shared" ca="1" si="2"/>
        <v>9.7192224622030237E-3</v>
      </c>
      <c r="F140" s="67">
        <f t="shared" ca="1" si="3"/>
        <v>0.99028077753779697</v>
      </c>
      <c r="G140" s="93">
        <f t="shared" ca="1" si="4"/>
        <v>7.9611231101511883</v>
      </c>
    </row>
    <row r="141" spans="2:8" ht="15.75" thickBot="1" x14ac:dyDescent="0.3">
      <c r="B141" s="8" t="str">
        <f t="shared" si="1"/>
        <v>Macroeconomic</v>
      </c>
      <c r="C141" s="15" t="str">
        <f t="shared" si="1"/>
        <v>Energy water food nexus</v>
      </c>
      <c r="D141" s="32">
        <f t="shared" ca="1" si="1"/>
        <v>14</v>
      </c>
      <c r="E141" s="68">
        <f t="shared" ca="1" si="2"/>
        <v>7.5593952483801298E-3</v>
      </c>
      <c r="F141" s="67">
        <f t="shared" ca="1" si="3"/>
        <v>0.99244060475161988</v>
      </c>
      <c r="G141" s="93">
        <f t="shared" ca="1" si="4"/>
        <v>7.9697624190064795</v>
      </c>
    </row>
    <row r="142" spans="2:8" ht="15.75" thickBot="1" x14ac:dyDescent="0.3">
      <c r="B142" s="8" t="str">
        <f t="shared" ref="B142:C146" si="5">B99</f>
        <v>Vision &amp; technology</v>
      </c>
      <c r="C142" s="15" t="str">
        <f t="shared" si="5"/>
        <v>Carbon capture, utilisation &amp; storage (CCUS)</v>
      </c>
      <c r="D142" s="32"/>
      <c r="E142" s="68"/>
      <c r="F142" s="67"/>
      <c r="G142" s="93"/>
      <c r="H142" s="39"/>
    </row>
    <row r="143" spans="2:8" ht="15.75" thickBot="1" x14ac:dyDescent="0.3">
      <c r="B143" s="8" t="str">
        <f t="shared" si="5"/>
        <v>Macroeconomic</v>
      </c>
      <c r="C143" s="15" t="str">
        <f t="shared" si="5"/>
        <v>Talent scarcity</v>
      </c>
      <c r="D143" s="32"/>
      <c r="E143" s="68"/>
      <c r="F143" s="67"/>
      <c r="G143" s="93"/>
      <c r="H143" s="39"/>
    </row>
    <row r="144" spans="2:8" ht="15.75" thickBot="1" x14ac:dyDescent="0.3">
      <c r="B144" s="8" t="str">
        <f t="shared" si="5"/>
        <v>Geopolitics &amp; regional</v>
      </c>
      <c r="C144" s="15" t="str">
        <f t="shared" si="5"/>
        <v>Middle East / North Africa fragility</v>
      </c>
      <c r="D144" s="32"/>
      <c r="E144" s="68"/>
      <c r="F144" s="67"/>
      <c r="G144" s="93"/>
      <c r="H144" s="39"/>
    </row>
    <row r="145" spans="2:8" ht="15.75" thickBot="1" x14ac:dyDescent="0.3">
      <c r="B145" s="8" t="str">
        <f t="shared" si="5"/>
        <v>Geopolitics &amp; regional</v>
      </c>
      <c r="C145" s="15" t="str">
        <f t="shared" si="5"/>
        <v>Russia energy diplomacy</v>
      </c>
      <c r="D145" s="32"/>
      <c r="E145" s="68"/>
      <c r="F145" s="67"/>
      <c r="G145" s="93"/>
      <c r="H145" s="39"/>
    </row>
    <row r="146" spans="2:8" ht="15.75" thickBot="1" x14ac:dyDescent="0.3">
      <c r="B146" s="8" t="str">
        <f t="shared" si="5"/>
        <v>Geopolitics &amp; regional</v>
      </c>
      <c r="C146" s="47" t="str">
        <f t="shared" si="5"/>
        <v>US trade and policy influencing global energy markets</v>
      </c>
      <c r="D146" s="32"/>
      <c r="E146" s="74"/>
      <c r="F146" s="70"/>
      <c r="G146" s="118"/>
      <c r="H146" s="39"/>
    </row>
    <row r="147" spans="2:8" x14ac:dyDescent="0.25">
      <c r="E147" s="67"/>
      <c r="F147" s="14"/>
      <c r="G147" s="14"/>
      <c r="H147" s="39"/>
    </row>
    <row r="148" spans="2:8" ht="15.75" thickBot="1" x14ac:dyDescent="0.3">
      <c r="G148" s="8"/>
      <c r="H148" s="6"/>
    </row>
    <row r="149" spans="2:8" ht="15.75" thickBot="1" x14ac:dyDescent="0.3">
      <c r="C149" s="33" t="s">
        <v>222</v>
      </c>
      <c r="D149" s="34">
        <f ca="1">MAX(D115:D141)</f>
        <v>1852</v>
      </c>
      <c r="G149" s="37"/>
      <c r="H149" s="6"/>
    </row>
    <row r="150" spans="2:8" x14ac:dyDescent="0.25">
      <c r="G150" s="8"/>
      <c r="H150" s="6"/>
    </row>
    <row r="151" spans="2:8" ht="15.75" thickBot="1" x14ac:dyDescent="0.3">
      <c r="G151" s="8"/>
      <c r="H151" s="6"/>
    </row>
    <row r="152" spans="2:8" ht="19.5" thickBot="1" x14ac:dyDescent="0.35">
      <c r="C152" s="192" t="s">
        <v>375</v>
      </c>
      <c r="D152" s="193"/>
      <c r="E152" s="193"/>
      <c r="F152" s="193"/>
      <c r="G152" s="194"/>
      <c r="H152" s="6"/>
    </row>
    <row r="153" spans="2:8" ht="30.75" thickBot="1" x14ac:dyDescent="0.3">
      <c r="B153" s="71" t="s">
        <v>240</v>
      </c>
      <c r="C153" s="71" t="s">
        <v>221</v>
      </c>
      <c r="D153" s="72" t="s">
        <v>225</v>
      </c>
      <c r="E153" s="73" t="s">
        <v>367</v>
      </c>
      <c r="F153" s="73" t="s">
        <v>228</v>
      </c>
      <c r="G153" s="73" t="s">
        <v>401</v>
      </c>
      <c r="H153" s="6"/>
    </row>
    <row r="154" spans="2:8" ht="15.75" thickBot="1" x14ac:dyDescent="0.3">
      <c r="B154" s="8" t="str">
        <f>B67</f>
        <v>Vision &amp; technology</v>
      </c>
      <c r="C154" s="15" t="str">
        <f>C67</f>
        <v>Renewable energy</v>
      </c>
      <c r="D154" s="32">
        <f ca="1">D67</f>
        <v>7911</v>
      </c>
      <c r="E154" s="68">
        <f ca="1">D154/$D$160</f>
        <v>1</v>
      </c>
      <c r="F154" s="85">
        <f ca="1">100%-E154</f>
        <v>0</v>
      </c>
      <c r="G154" s="91">
        <f ca="1">((F154*4)/100%)+8</f>
        <v>8</v>
      </c>
    </row>
    <row r="155" spans="2:8" ht="15.75" thickBot="1" x14ac:dyDescent="0.3">
      <c r="B155" s="8" t="str">
        <f t="shared" ref="B155:D158" si="6">B68</f>
        <v>Vision &amp; technology</v>
      </c>
      <c r="C155" s="15" t="str">
        <f t="shared" si="6"/>
        <v>Nuclear energy</v>
      </c>
      <c r="D155" s="32">
        <f t="shared" ca="1" si="6"/>
        <v>6719</v>
      </c>
      <c r="E155" s="68">
        <f ca="1">D155/$D$160</f>
        <v>0.8493237264568323</v>
      </c>
      <c r="F155" s="85">
        <f ca="1">100%-E155</f>
        <v>0.1506762735431677</v>
      </c>
      <c r="G155" s="91">
        <f ca="1">((F155*4)/100%)+8</f>
        <v>8.6027050941726699</v>
      </c>
    </row>
    <row r="156" spans="2:8" ht="15.75" thickBot="1" x14ac:dyDescent="0.3">
      <c r="B156" s="8" t="str">
        <f t="shared" si="6"/>
        <v>Vision &amp; technology</v>
      </c>
      <c r="C156" s="15" t="str">
        <f t="shared" si="6"/>
        <v>Biofuels</v>
      </c>
      <c r="D156" s="32">
        <f t="shared" ca="1" si="6"/>
        <v>4870</v>
      </c>
      <c r="E156" s="68">
        <f ca="1">D156/$D$160</f>
        <v>0.61559853368727091</v>
      </c>
      <c r="F156" s="85">
        <f ca="1">100%-E156</f>
        <v>0.38440146631272909</v>
      </c>
      <c r="G156" s="91">
        <f ca="1">((F156*4)/100%)+8</f>
        <v>9.5376058652509172</v>
      </c>
    </row>
    <row r="157" spans="2:8" ht="15.75" thickBot="1" x14ac:dyDescent="0.3">
      <c r="B157" s="8" t="str">
        <f t="shared" si="6"/>
        <v>Business environment</v>
      </c>
      <c r="C157" s="15" t="str">
        <f t="shared" si="6"/>
        <v>Business cycle</v>
      </c>
      <c r="D157" s="32">
        <f t="shared" ca="1" si="6"/>
        <v>3738</v>
      </c>
      <c r="E157" s="68">
        <f ca="1">D157/$D$160</f>
        <v>0.4725066363291619</v>
      </c>
      <c r="F157" s="85">
        <f ca="1">100%-E157</f>
        <v>0.5274933636708381</v>
      </c>
      <c r="G157" s="91">
        <f ca="1">((F157*4)/100%)+8</f>
        <v>10.109973454683352</v>
      </c>
    </row>
    <row r="158" spans="2:8" ht="15.75" thickBot="1" x14ac:dyDescent="0.3">
      <c r="B158" s="8" t="str">
        <f t="shared" si="6"/>
        <v>Vision &amp; technology</v>
      </c>
      <c r="C158" s="47" t="str">
        <f t="shared" si="6"/>
        <v>Smart grids</v>
      </c>
      <c r="D158" s="32">
        <f t="shared" ca="1" si="6"/>
        <v>3720</v>
      </c>
      <c r="E158" s="74">
        <f ca="1">D158/$D$160</f>
        <v>0.47023132347364427</v>
      </c>
      <c r="F158" s="87">
        <f ca="1">100%-E158</f>
        <v>0.52976867652635573</v>
      </c>
      <c r="G158" s="92">
        <f ca="1">((F158*4)/100%)+8</f>
        <v>10.119074706105422</v>
      </c>
    </row>
    <row r="159" spans="2:8" ht="15.75" thickBot="1" x14ac:dyDescent="0.3">
      <c r="G159" s="8"/>
      <c r="H159" s="6"/>
    </row>
    <row r="160" spans="2:8" ht="15.75" thickBot="1" x14ac:dyDescent="0.3">
      <c r="C160" s="33" t="s">
        <v>222</v>
      </c>
      <c r="D160" s="34">
        <f ca="1">MAX(D154:D158)</f>
        <v>7911</v>
      </c>
      <c r="G160" s="8"/>
      <c r="H160" s="6"/>
    </row>
    <row r="161" spans="2:8" x14ac:dyDescent="0.25">
      <c r="G161" s="8"/>
      <c r="H161" s="6"/>
    </row>
    <row r="162" spans="2:8" ht="15.75" thickBot="1" x14ac:dyDescent="0.3">
      <c r="G162" s="8"/>
      <c r="H162" s="6"/>
    </row>
    <row r="163" spans="2:8" ht="19.5" thickBot="1" x14ac:dyDescent="0.35">
      <c r="C163" s="192" t="s">
        <v>376</v>
      </c>
      <c r="D163" s="193"/>
      <c r="E163" s="193"/>
      <c r="F163" s="193"/>
      <c r="G163" s="194"/>
      <c r="H163" s="6"/>
    </row>
    <row r="164" spans="2:8" ht="30.75" thickBot="1" x14ac:dyDescent="0.3">
      <c r="B164" s="71" t="s">
        <v>240</v>
      </c>
      <c r="C164" s="71" t="s">
        <v>221</v>
      </c>
      <c r="D164" s="72" t="s">
        <v>225</v>
      </c>
      <c r="E164" s="73" t="s">
        <v>367</v>
      </c>
      <c r="F164" s="73" t="s">
        <v>228</v>
      </c>
      <c r="G164" s="73" t="s">
        <v>401</v>
      </c>
      <c r="H164" s="6"/>
    </row>
    <row r="165" spans="2:8" ht="15.75" thickBot="1" x14ac:dyDescent="0.3">
      <c r="B165" s="8" t="str">
        <f>B99</f>
        <v>Vision &amp; technology</v>
      </c>
      <c r="C165" s="15" t="str">
        <f>C99</f>
        <v>Carbon capture, utilisation &amp; storage (CCUS)</v>
      </c>
      <c r="D165" s="32">
        <f ca="1">D99</f>
        <v>13</v>
      </c>
      <c r="E165" s="68">
        <f ca="1">D165/$D$171</f>
        <v>1</v>
      </c>
      <c r="F165" s="85">
        <f ca="1">100%-E165</f>
        <v>0</v>
      </c>
      <c r="G165" s="91">
        <f ca="1">(F165*4)/100%</f>
        <v>0</v>
      </c>
    </row>
    <row r="166" spans="2:8" ht="15.75" thickBot="1" x14ac:dyDescent="0.3">
      <c r="B166" s="8" t="str">
        <f t="shared" ref="B166:D169" si="7">B100</f>
        <v>Macroeconomic</v>
      </c>
      <c r="C166" s="15" t="str">
        <f t="shared" si="7"/>
        <v>Talent scarcity</v>
      </c>
      <c r="D166" s="32">
        <f t="shared" ca="1" si="7"/>
        <v>1</v>
      </c>
      <c r="E166" s="68">
        <f ca="1">D166/$D$171</f>
        <v>7.6923076923076927E-2</v>
      </c>
      <c r="F166" s="85">
        <f ca="1">100%-E166</f>
        <v>0.92307692307692313</v>
      </c>
      <c r="G166" s="91">
        <f ca="1">(F166*4)/100%</f>
        <v>3.6923076923076925</v>
      </c>
    </row>
    <row r="167" spans="2:8" ht="15.75" thickBot="1" x14ac:dyDescent="0.3">
      <c r="B167" s="8" t="str">
        <f t="shared" si="7"/>
        <v>Geopolitics &amp; regional</v>
      </c>
      <c r="C167" s="15" t="str">
        <f t="shared" si="7"/>
        <v>Middle East / North Africa fragility</v>
      </c>
      <c r="D167" s="32">
        <f t="shared" ca="1" si="7"/>
        <v>1</v>
      </c>
      <c r="E167" s="68">
        <f ca="1">D167/$D$171</f>
        <v>7.6923076923076927E-2</v>
      </c>
      <c r="F167" s="85">
        <f ca="1">100%-E167</f>
        <v>0.92307692307692313</v>
      </c>
      <c r="G167" s="91">
        <f ca="1">(F167*4)/100%</f>
        <v>3.6923076923076925</v>
      </c>
    </row>
    <row r="168" spans="2:8" ht="15.75" thickBot="1" x14ac:dyDescent="0.3">
      <c r="B168" s="8" t="str">
        <f t="shared" si="7"/>
        <v>Geopolitics &amp; regional</v>
      </c>
      <c r="C168" s="15" t="str">
        <f t="shared" si="7"/>
        <v>Russia energy diplomacy</v>
      </c>
      <c r="D168" s="32">
        <f t="shared" ca="1" si="7"/>
        <v>0</v>
      </c>
      <c r="E168" s="68">
        <f ca="1">D168/$D$171</f>
        <v>0</v>
      </c>
      <c r="F168" s="85">
        <f ca="1">100%-E168</f>
        <v>1</v>
      </c>
      <c r="G168" s="91">
        <f ca="1">(F168*4)/100%</f>
        <v>4</v>
      </c>
    </row>
    <row r="169" spans="2:8" ht="15.75" thickBot="1" x14ac:dyDescent="0.3">
      <c r="B169" s="8" t="str">
        <f t="shared" si="7"/>
        <v>Geopolitics &amp; regional</v>
      </c>
      <c r="C169" s="47" t="str">
        <f t="shared" si="7"/>
        <v>US trade and policy influencing global energy markets</v>
      </c>
      <c r="D169" s="32">
        <f t="shared" ca="1" si="7"/>
        <v>0</v>
      </c>
      <c r="E169" s="74">
        <f ca="1">D169/$D$171</f>
        <v>0</v>
      </c>
      <c r="F169" s="87">
        <f ca="1">100%-E169</f>
        <v>1</v>
      </c>
      <c r="G169" s="92">
        <f ca="1">(F169*4)/100%</f>
        <v>4</v>
      </c>
    </row>
    <row r="170" spans="2:8" ht="15.75" thickBot="1" x14ac:dyDescent="0.3">
      <c r="G170" s="8"/>
      <c r="H170" s="6"/>
    </row>
    <row r="171" spans="2:8" ht="15.75" thickBot="1" x14ac:dyDescent="0.3">
      <c r="C171" s="33" t="s">
        <v>222</v>
      </c>
      <c r="D171" s="34">
        <f ca="1">MAX(D165:D169)</f>
        <v>13</v>
      </c>
      <c r="G171" s="8"/>
      <c r="H171" s="6"/>
    </row>
    <row r="172" spans="2:8" x14ac:dyDescent="0.25">
      <c r="G172" s="8"/>
      <c r="H172" s="6"/>
    </row>
    <row r="173" spans="2:8" x14ac:dyDescent="0.25">
      <c r="G173" s="8"/>
      <c r="H173" s="6"/>
    </row>
    <row r="174" spans="2:8" x14ac:dyDescent="0.25">
      <c r="G174" s="8"/>
      <c r="H174" s="6"/>
    </row>
    <row r="175" spans="2:8" x14ac:dyDescent="0.25">
      <c r="G175" s="8"/>
      <c r="H175" s="6"/>
    </row>
    <row r="176" spans="2:8" x14ac:dyDescent="0.25">
      <c r="G176" s="8"/>
      <c r="H176" s="6"/>
    </row>
    <row r="177" spans="7:8" x14ac:dyDescent="0.25">
      <c r="G177" s="8"/>
      <c r="H177" s="6"/>
    </row>
  </sheetData>
  <sortState ref="B67:D103">
    <sortCondition descending="1" ref="D66"/>
  </sortState>
  <mergeCells count="5">
    <mergeCell ref="B2:D6"/>
    <mergeCell ref="C108:G108"/>
    <mergeCell ref="B65:D65"/>
    <mergeCell ref="C152:G152"/>
    <mergeCell ref="C163:G163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19"/>
  <sheetViews>
    <sheetView workbookViewId="0">
      <selection activeCell="A4" sqref="A4"/>
    </sheetView>
  </sheetViews>
  <sheetFormatPr baseColWidth="10" defaultRowHeight="15" x14ac:dyDescent="0.25"/>
  <cols>
    <col min="1" max="16384" width="11.42578125" style="125"/>
  </cols>
  <sheetData>
    <row r="1" spans="3:17" ht="18.75" x14ac:dyDescent="0.3">
      <c r="C1" s="217" t="s">
        <v>415</v>
      </c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</row>
    <row r="3" spans="3:17" ht="59.25" customHeight="1" x14ac:dyDescent="0.25">
      <c r="C3" s="216" t="s">
        <v>439</v>
      </c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136"/>
      <c r="P3" s="136"/>
      <c r="Q3" s="136"/>
    </row>
    <row r="4" spans="3:17" ht="15.75" thickBot="1" x14ac:dyDescent="0.3"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3:17" ht="15" customHeight="1" x14ac:dyDescent="0.25">
      <c r="C5" s="224">
        <v>1</v>
      </c>
      <c r="D5" s="218" t="s">
        <v>416</v>
      </c>
      <c r="E5" s="218"/>
      <c r="F5" s="218"/>
      <c r="G5" s="218"/>
      <c r="H5" s="218"/>
      <c r="I5" s="218"/>
      <c r="J5" s="218"/>
      <c r="K5" s="218"/>
      <c r="L5" s="218"/>
      <c r="M5" s="218"/>
      <c r="N5" s="219"/>
      <c r="O5" s="137"/>
      <c r="P5" s="137"/>
      <c r="Q5" s="137"/>
    </row>
    <row r="6" spans="3:17" ht="15.75" thickBot="1" x14ac:dyDescent="0.3">
      <c r="C6" s="225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1"/>
      <c r="O6" s="137"/>
      <c r="P6" s="137"/>
      <c r="Q6" s="137"/>
    </row>
    <row r="7" spans="3:17" ht="15.75" thickBot="1" x14ac:dyDescent="0.3">
      <c r="C7" s="132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</row>
    <row r="8" spans="3:17" ht="15.75" thickBot="1" x14ac:dyDescent="0.3">
      <c r="C8" s="141">
        <v>2</v>
      </c>
      <c r="D8" s="214" t="s">
        <v>417</v>
      </c>
      <c r="E8" s="214"/>
      <c r="F8" s="214"/>
      <c r="G8" s="214"/>
      <c r="H8" s="214"/>
      <c r="I8" s="214"/>
      <c r="J8" s="214"/>
      <c r="K8" s="214"/>
      <c r="L8" s="214"/>
      <c r="M8" s="214"/>
      <c r="N8" s="215"/>
    </row>
    <row r="9" spans="3:17" ht="15.75" thickBot="1" x14ac:dyDescent="0.3">
      <c r="C9" s="134"/>
    </row>
    <row r="10" spans="3:17" ht="31.5" customHeight="1" thickBot="1" x14ac:dyDescent="0.3">
      <c r="C10" s="142" t="s">
        <v>418</v>
      </c>
      <c r="D10" s="212" t="s">
        <v>419</v>
      </c>
      <c r="E10" s="212"/>
      <c r="F10" s="212"/>
      <c r="G10" s="212"/>
      <c r="H10" s="212"/>
      <c r="I10" s="212"/>
      <c r="J10" s="212"/>
      <c r="K10" s="212"/>
      <c r="L10" s="212"/>
      <c r="M10" s="212"/>
      <c r="N10" s="213"/>
      <c r="O10" s="138"/>
      <c r="P10" s="138"/>
      <c r="Q10" s="138"/>
    </row>
    <row r="11" spans="3:17" ht="15.75" thickBot="1" x14ac:dyDescent="0.3">
      <c r="C11" s="132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</row>
    <row r="12" spans="3:17" ht="30.75" customHeight="1" thickBot="1" x14ac:dyDescent="0.3">
      <c r="C12" s="142" t="s">
        <v>420</v>
      </c>
      <c r="D12" s="222" t="s">
        <v>421</v>
      </c>
      <c r="E12" s="222"/>
      <c r="F12" s="222"/>
      <c r="G12" s="222"/>
      <c r="H12" s="222"/>
      <c r="I12" s="222"/>
      <c r="J12" s="222"/>
      <c r="K12" s="222"/>
      <c r="L12" s="222"/>
      <c r="M12" s="222"/>
      <c r="N12" s="223"/>
    </row>
    <row r="13" spans="3:17" ht="15.75" thickBot="1" x14ac:dyDescent="0.3">
      <c r="C13" s="132"/>
    </row>
    <row r="14" spans="3:17" ht="48.75" customHeight="1" thickBot="1" x14ac:dyDescent="0.3">
      <c r="C14" s="142" t="s">
        <v>430</v>
      </c>
      <c r="D14" s="212" t="s">
        <v>431</v>
      </c>
      <c r="E14" s="212"/>
      <c r="F14" s="212"/>
      <c r="G14" s="212"/>
      <c r="H14" s="212"/>
      <c r="I14" s="212"/>
      <c r="J14" s="212"/>
      <c r="K14" s="212"/>
      <c r="L14" s="212"/>
      <c r="M14" s="212"/>
      <c r="N14" s="213"/>
      <c r="O14" s="138"/>
      <c r="P14" s="138"/>
      <c r="Q14" s="138"/>
    </row>
    <row r="15" spans="3:17" x14ac:dyDescent="0.25">
      <c r="O15" s="139"/>
      <c r="P15" s="139"/>
      <c r="Q15" s="139"/>
    </row>
    <row r="16" spans="3:17" ht="1.5" customHeight="1" thickBot="1" x14ac:dyDescent="0.3">
      <c r="O16" s="140"/>
      <c r="P16" s="140"/>
      <c r="Q16" s="140"/>
    </row>
    <row r="17" spans="3:14" ht="31.5" customHeight="1" thickBot="1" x14ac:dyDescent="0.3">
      <c r="C17" s="142">
        <v>3</v>
      </c>
      <c r="D17" s="212" t="s">
        <v>422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3"/>
    </row>
    <row r="18" spans="3:14" ht="15.75" thickBot="1" x14ac:dyDescent="0.3">
      <c r="C18" s="135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</row>
    <row r="19" spans="3:14" ht="15.75" thickBot="1" x14ac:dyDescent="0.3">
      <c r="C19" s="141" t="s">
        <v>423</v>
      </c>
      <c r="D19" s="214" t="s">
        <v>424</v>
      </c>
      <c r="E19" s="214"/>
      <c r="F19" s="214"/>
      <c r="G19" s="214"/>
      <c r="H19" s="214"/>
      <c r="I19" s="214"/>
      <c r="J19" s="214"/>
      <c r="K19" s="214"/>
      <c r="L19" s="214"/>
      <c r="M19" s="214"/>
      <c r="N19" s="215"/>
    </row>
  </sheetData>
  <mergeCells count="10">
    <mergeCell ref="D17:N17"/>
    <mergeCell ref="D19:N19"/>
    <mergeCell ref="C3:N3"/>
    <mergeCell ref="D8:N8"/>
    <mergeCell ref="C1:N1"/>
    <mergeCell ref="D5:N6"/>
    <mergeCell ref="D10:N10"/>
    <mergeCell ref="D14:N14"/>
    <mergeCell ref="D12:N12"/>
    <mergeCell ref="C5:C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H7" sqref="H7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" sqref="A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Menu</vt:lpstr>
      <vt:lpstr>Promedio</vt:lpstr>
      <vt:lpstr>patents</vt:lpstr>
      <vt:lpstr>News</vt:lpstr>
      <vt:lpstr>Trends</vt:lpstr>
      <vt:lpstr>T_Scopus</vt:lpstr>
      <vt:lpstr>Grafica de Mapas Tematicos</vt:lpstr>
      <vt:lpstr>Promedios del estudio</vt:lpstr>
      <vt:lpstr>Google Trends</vt:lpstr>
      <vt:lpstr>Google News</vt:lpstr>
      <vt:lpstr>Free Patents</vt:lpstr>
      <vt:lpstr>Scopus</vt:lpstr>
      <vt:lpstr>Instrucciones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cocme@cocme.co</dc:creator>
  <cp:lastModifiedBy>DANIEL DIAZ</cp:lastModifiedBy>
  <dcterms:created xsi:type="dcterms:W3CDTF">2014-01-24T23:39:21Z</dcterms:created>
  <dcterms:modified xsi:type="dcterms:W3CDTF">2014-09-27T17:01:39Z</dcterms:modified>
</cp:coreProperties>
</file>