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60" windowWidth="20730" windowHeight="9675" tabRatio="706" activeTab="1"/>
  </bookViews>
  <sheets>
    <sheet name="Gráfico1" sheetId="25" r:id="rId1"/>
    <sheet name="RESUMEN" sheetId="19" r:id="rId2"/>
    <sheet name="CI Na_LED_CMH" sheetId="2" r:id="rId3"/>
    <sheet name="CAOM Na " sheetId="6" r:id="rId4"/>
    <sheet name="CAOM CMH" sheetId="22" r:id="rId5"/>
    <sheet name="CAOM LED " sheetId="3" r:id="rId6"/>
    <sheet name="CAUE Na" sheetId="8" r:id="rId7"/>
    <sheet name="CAUE CMH" sheetId="23" r:id="rId8"/>
    <sheet name="CAUE LED" sheetId="7" r:id="rId9"/>
    <sheet name="COSTOS Na" sheetId="16" r:id="rId10"/>
    <sheet name="COSTOS CMH" sheetId="24" r:id="rId11"/>
    <sheet name="COSTOS LED" sheetId="15" r:id="rId12"/>
  </sheets>
  <definedNames>
    <definedName name="_xlnm.Print_Area" localSheetId="2">'CI Na_LED_CMH'!$A$1:$F$38</definedName>
    <definedName name="_xlnm.Print_Area" localSheetId="1">RESUMEN!$A$1:$N$23</definedName>
  </definedNames>
  <calcPr calcId="145621"/>
</workbook>
</file>

<file path=xl/calcChain.xml><?xml version="1.0" encoding="utf-8"?>
<calcChain xmlns="http://schemas.openxmlformats.org/spreadsheetml/2006/main">
  <c r="C57" i="2" l="1"/>
  <c r="C56" i="2"/>
  <c r="B57" i="2"/>
  <c r="B56" i="2"/>
  <c r="E30" i="6" l="1"/>
  <c r="C45" i="2" l="1"/>
  <c r="C26" i="2"/>
  <c r="E38" i="3"/>
  <c r="E30" i="22"/>
  <c r="F11" i="19" l="1"/>
  <c r="D7" i="24"/>
  <c r="E31" i="3"/>
  <c r="E32" i="3"/>
  <c r="E33" i="3"/>
  <c r="E34" i="3"/>
  <c r="E35" i="3"/>
  <c r="E30" i="3"/>
  <c r="D31" i="3"/>
  <c r="D32" i="3"/>
  <c r="D33" i="3"/>
  <c r="W33" i="3" s="1"/>
  <c r="G33" i="3" s="1"/>
  <c r="D34" i="3"/>
  <c r="W34" i="3" s="1"/>
  <c r="G34" i="3" s="1"/>
  <c r="D35" i="3"/>
  <c r="D23" i="3"/>
  <c r="H23" i="3" s="1"/>
  <c r="D24" i="3"/>
  <c r="H24" i="3" s="1"/>
  <c r="D25" i="3"/>
  <c r="H25" i="3" s="1"/>
  <c r="D26" i="3"/>
  <c r="H26" i="3" s="1"/>
  <c r="D27" i="3"/>
  <c r="H27" i="3" s="1"/>
  <c r="D15" i="3"/>
  <c r="W15" i="3" s="1"/>
  <c r="D16" i="3"/>
  <c r="W16" i="3" s="1"/>
  <c r="D17" i="3"/>
  <c r="W17" i="3" s="1"/>
  <c r="D18" i="3"/>
  <c r="W18" i="3" s="1"/>
  <c r="D19" i="3"/>
  <c r="W19" i="3" s="1"/>
  <c r="D7" i="3"/>
  <c r="W7" i="3" s="1"/>
  <c r="G7" i="3" s="1"/>
  <c r="D8" i="3"/>
  <c r="D9" i="3"/>
  <c r="D10" i="3"/>
  <c r="W10" i="3" s="1"/>
  <c r="G10" i="3" s="1"/>
  <c r="D11" i="3"/>
  <c r="W11" i="3" s="1"/>
  <c r="G11" i="3" s="1"/>
  <c r="D6" i="3"/>
  <c r="C7" i="3"/>
  <c r="C23" i="3" s="1"/>
  <c r="C8" i="3"/>
  <c r="C16" i="3" s="1"/>
  <c r="C9" i="3"/>
  <c r="C25" i="3" s="1"/>
  <c r="C10" i="3"/>
  <c r="C18" i="3" s="1"/>
  <c r="C11" i="3"/>
  <c r="C27" i="3" s="1"/>
  <c r="C6" i="3"/>
  <c r="E7" i="22"/>
  <c r="E25" i="22" s="1"/>
  <c r="E8" i="22"/>
  <c r="E26" i="22" s="1"/>
  <c r="E9" i="22"/>
  <c r="E27" i="22" s="1"/>
  <c r="E6" i="22"/>
  <c r="E24" i="22" s="1"/>
  <c r="AK28" i="22"/>
  <c r="AJ28" i="22"/>
  <c r="AI28" i="22"/>
  <c r="AH28" i="22"/>
  <c r="AG28" i="22"/>
  <c r="AF28" i="22"/>
  <c r="AE28" i="22"/>
  <c r="AD28" i="22"/>
  <c r="AC28" i="22"/>
  <c r="AB28" i="22"/>
  <c r="AA28" i="22"/>
  <c r="Z28" i="22"/>
  <c r="Y28" i="22"/>
  <c r="X28" i="22"/>
  <c r="V28" i="22"/>
  <c r="U28" i="22"/>
  <c r="T28" i="22"/>
  <c r="S28" i="22"/>
  <c r="R28" i="22"/>
  <c r="Q28" i="22"/>
  <c r="P28" i="22"/>
  <c r="O28" i="22"/>
  <c r="N28" i="22"/>
  <c r="M28" i="22"/>
  <c r="L28" i="22"/>
  <c r="K28" i="22"/>
  <c r="J28" i="22"/>
  <c r="I28" i="22"/>
  <c r="H28" i="22"/>
  <c r="C21" i="22"/>
  <c r="C20" i="22"/>
  <c r="C19" i="22"/>
  <c r="C18" i="22"/>
  <c r="AJ16" i="22"/>
  <c r="AI16" i="22"/>
  <c r="AH16" i="22"/>
  <c r="AG16" i="22"/>
  <c r="AE16" i="22"/>
  <c r="AD16" i="22"/>
  <c r="AC16" i="22"/>
  <c r="AB16" i="22"/>
  <c r="Z16" i="22"/>
  <c r="Y16" i="22"/>
  <c r="X16" i="22"/>
  <c r="W16" i="22"/>
  <c r="U16" i="22"/>
  <c r="T16" i="22"/>
  <c r="S16" i="22"/>
  <c r="R16" i="22"/>
  <c r="P16" i="22"/>
  <c r="O16" i="22"/>
  <c r="N16" i="22"/>
  <c r="M16" i="22"/>
  <c r="C15" i="22"/>
  <c r="C14" i="22"/>
  <c r="C13" i="22"/>
  <c r="C12" i="22"/>
  <c r="AL5" i="22"/>
  <c r="W6" i="3" l="1"/>
  <c r="W8" i="3"/>
  <c r="G8" i="3" s="1"/>
  <c r="X23" i="3"/>
  <c r="AK24" i="3"/>
  <c r="AB23" i="3"/>
  <c r="L23" i="3"/>
  <c r="AF23" i="3"/>
  <c r="P23" i="3"/>
  <c r="AC24" i="3"/>
  <c r="AJ23" i="3"/>
  <c r="T23" i="3"/>
  <c r="AG24" i="3"/>
  <c r="W35" i="3"/>
  <c r="G35" i="3" s="1"/>
  <c r="W31" i="3"/>
  <c r="G31" i="3" s="1"/>
  <c r="W32" i="3"/>
  <c r="G32" i="3" s="1"/>
  <c r="Y24" i="3"/>
  <c r="U24" i="3"/>
  <c r="Q24" i="3"/>
  <c r="M24" i="3"/>
  <c r="I24" i="3"/>
  <c r="AH25" i="3"/>
  <c r="AD25" i="3"/>
  <c r="Z25" i="3"/>
  <c r="V25" i="3"/>
  <c r="R25" i="3"/>
  <c r="N25" i="3"/>
  <c r="J25" i="3"/>
  <c r="AI26" i="3"/>
  <c r="AE26" i="3"/>
  <c r="AA26" i="3"/>
  <c r="W26" i="3"/>
  <c r="S26" i="3"/>
  <c r="O26" i="3"/>
  <c r="K26" i="3"/>
  <c r="W9" i="3"/>
  <c r="G9" i="3" s="1"/>
  <c r="AK23" i="3"/>
  <c r="AG23" i="3"/>
  <c r="AC23" i="3"/>
  <c r="Y23" i="3"/>
  <c r="U23" i="3"/>
  <c r="Q23" i="3"/>
  <c r="M23" i="3"/>
  <c r="I23" i="3"/>
  <c r="AH24" i="3"/>
  <c r="AD24" i="3"/>
  <c r="Z24" i="3"/>
  <c r="V24" i="3"/>
  <c r="R24" i="3"/>
  <c r="N24" i="3"/>
  <c r="J24" i="3"/>
  <c r="AI25" i="3"/>
  <c r="AE25" i="3"/>
  <c r="AA25" i="3"/>
  <c r="W25" i="3"/>
  <c r="S25" i="3"/>
  <c r="O25" i="3"/>
  <c r="K25" i="3"/>
  <c r="AJ26" i="3"/>
  <c r="AF26" i="3"/>
  <c r="AB26" i="3"/>
  <c r="X26" i="3"/>
  <c r="T26" i="3"/>
  <c r="P26" i="3"/>
  <c r="L26" i="3"/>
  <c r="AH23" i="3"/>
  <c r="AD23" i="3"/>
  <c r="Z23" i="3"/>
  <c r="V23" i="3"/>
  <c r="R23" i="3"/>
  <c r="N23" i="3"/>
  <c r="J23" i="3"/>
  <c r="AI24" i="3"/>
  <c r="AE24" i="3"/>
  <c r="AA24" i="3"/>
  <c r="W24" i="3"/>
  <c r="S24" i="3"/>
  <c r="O24" i="3"/>
  <c r="K24" i="3"/>
  <c r="AJ25" i="3"/>
  <c r="AF25" i="3"/>
  <c r="AB25" i="3"/>
  <c r="X25" i="3"/>
  <c r="T25" i="3"/>
  <c r="P25" i="3"/>
  <c r="L25" i="3"/>
  <c r="AK26" i="3"/>
  <c r="AG26" i="3"/>
  <c r="AC26" i="3"/>
  <c r="Y26" i="3"/>
  <c r="U26" i="3"/>
  <c r="Q26" i="3"/>
  <c r="M26" i="3"/>
  <c r="I26" i="3"/>
  <c r="AI23" i="3"/>
  <c r="AE23" i="3"/>
  <c r="AA23" i="3"/>
  <c r="W23" i="3"/>
  <c r="S23" i="3"/>
  <c r="O23" i="3"/>
  <c r="K23" i="3"/>
  <c r="AJ24" i="3"/>
  <c r="AF24" i="3"/>
  <c r="AB24" i="3"/>
  <c r="X24" i="3"/>
  <c r="T24" i="3"/>
  <c r="P24" i="3"/>
  <c r="L24" i="3"/>
  <c r="AK25" i="3"/>
  <c r="AG25" i="3"/>
  <c r="AC25" i="3"/>
  <c r="Y25" i="3"/>
  <c r="U25" i="3"/>
  <c r="Q25" i="3"/>
  <c r="M25" i="3"/>
  <c r="I25" i="3"/>
  <c r="AH26" i="3"/>
  <c r="AD26" i="3"/>
  <c r="Z26" i="3"/>
  <c r="V26" i="3"/>
  <c r="R26" i="3"/>
  <c r="N26" i="3"/>
  <c r="J26" i="3"/>
  <c r="G6" i="3"/>
  <c r="C19" i="3"/>
  <c r="C17" i="3"/>
  <c r="C26" i="3"/>
  <c r="C24" i="3"/>
  <c r="G19" i="3"/>
  <c r="G17" i="3"/>
  <c r="G15" i="3"/>
  <c r="G18" i="3"/>
  <c r="G16" i="3"/>
  <c r="G24" i="3" l="1"/>
  <c r="W12" i="3"/>
  <c r="G26" i="3"/>
  <c r="G25" i="3"/>
  <c r="G12" i="3"/>
  <c r="G23" i="3"/>
  <c r="R16" i="6" l="1"/>
  <c r="S16" i="6"/>
  <c r="T16" i="6"/>
  <c r="U16" i="6"/>
  <c r="W16" i="6"/>
  <c r="X16" i="6"/>
  <c r="Y16" i="6"/>
  <c r="Z16" i="6"/>
  <c r="AB16" i="6"/>
  <c r="AC16" i="6"/>
  <c r="AD16" i="6"/>
  <c r="AE16" i="6"/>
  <c r="AG16" i="6"/>
  <c r="AH16" i="6"/>
  <c r="AI16" i="6"/>
  <c r="AJ16" i="6"/>
  <c r="M16" i="6"/>
  <c r="N16" i="6"/>
  <c r="O16" i="6"/>
  <c r="P16" i="6"/>
  <c r="AC10" i="6"/>
  <c r="AD10" i="6"/>
  <c r="AF10" i="6"/>
  <c r="AG10" i="6"/>
  <c r="AI10" i="6"/>
  <c r="AJ10" i="6"/>
  <c r="Z10" i="6"/>
  <c r="AA10" i="6"/>
  <c r="E9" i="6"/>
  <c r="E27" i="6" s="1"/>
  <c r="E8" i="6"/>
  <c r="E26" i="6" s="1"/>
  <c r="D9" i="6"/>
  <c r="D21" i="6" s="1"/>
  <c r="C21" i="6"/>
  <c r="C15" i="6"/>
  <c r="E6" i="6"/>
  <c r="E24" i="6" s="1"/>
  <c r="C12" i="6"/>
  <c r="C18" i="6"/>
  <c r="C48" i="2"/>
  <c r="C47" i="2"/>
  <c r="C29" i="2"/>
  <c r="F29" i="2" s="1"/>
  <c r="C28" i="2"/>
  <c r="C27" i="2"/>
  <c r="D6" i="6" s="1"/>
  <c r="F44" i="2"/>
  <c r="F25" i="2"/>
  <c r="F22" i="2"/>
  <c r="F9" i="2"/>
  <c r="F10" i="2"/>
  <c r="F11" i="2"/>
  <c r="F12" i="2"/>
  <c r="C14" i="2"/>
  <c r="C46" i="2"/>
  <c r="C49" i="2"/>
  <c r="D9" i="22" s="1"/>
  <c r="F43" i="2"/>
  <c r="F42" i="2"/>
  <c r="F41" i="2"/>
  <c r="C30" i="2"/>
  <c r="J6" i="6" l="1"/>
  <c r="O9" i="22"/>
  <c r="Y9" i="22"/>
  <c r="I9" i="22"/>
  <c r="AA9" i="22"/>
  <c r="K9" i="22"/>
  <c r="AK9" i="22"/>
  <c r="U9" i="22"/>
  <c r="AE9" i="22"/>
  <c r="AG9" i="22"/>
  <c r="Q9" i="22"/>
  <c r="AI9" i="22"/>
  <c r="S9" i="22"/>
  <c r="AC9" i="22"/>
  <c r="M9" i="22"/>
  <c r="W9" i="22"/>
  <c r="D27" i="22"/>
  <c r="W27" i="22" s="1"/>
  <c r="D15" i="22"/>
  <c r="D21" i="22"/>
  <c r="F48" i="2"/>
  <c r="D8" i="22"/>
  <c r="F46" i="2"/>
  <c r="D6" i="22"/>
  <c r="F47" i="2"/>
  <c r="D7" i="22"/>
  <c r="D15" i="6"/>
  <c r="Q15" i="6" s="1"/>
  <c r="M9" i="6"/>
  <c r="H21" i="6"/>
  <c r="K21" i="6"/>
  <c r="O21" i="6"/>
  <c r="S21" i="6"/>
  <c r="W21" i="6"/>
  <c r="AA21" i="6"/>
  <c r="AE21" i="6"/>
  <c r="AI21" i="6"/>
  <c r="J21" i="6"/>
  <c r="R21" i="6"/>
  <c r="V21" i="6"/>
  <c r="Z21" i="6"/>
  <c r="AD21" i="6"/>
  <c r="I21" i="6"/>
  <c r="Q21" i="6"/>
  <c r="U21" i="6"/>
  <c r="AC21" i="6"/>
  <c r="AK21" i="6"/>
  <c r="L21" i="6"/>
  <c r="P21" i="6"/>
  <c r="T21" i="6"/>
  <c r="X21" i="6"/>
  <c r="AB21" i="6"/>
  <c r="AF21" i="6"/>
  <c r="AJ21" i="6"/>
  <c r="N21" i="6"/>
  <c r="AH21" i="6"/>
  <c r="M21" i="6"/>
  <c r="Y21" i="6"/>
  <c r="AG21" i="6"/>
  <c r="AE9" i="6"/>
  <c r="AB9" i="6"/>
  <c r="AK9" i="6"/>
  <c r="D27" i="6"/>
  <c r="W27" i="6" s="1"/>
  <c r="Y9" i="6"/>
  <c r="J9" i="6"/>
  <c r="V9" i="6"/>
  <c r="AH9" i="6"/>
  <c r="S9" i="6"/>
  <c r="Y6" i="6"/>
  <c r="P9" i="6"/>
  <c r="AK6" i="6"/>
  <c r="M6" i="6"/>
  <c r="D24" i="6"/>
  <c r="W24" i="6" s="1"/>
  <c r="AB6" i="6"/>
  <c r="P6" i="6"/>
  <c r="AE6" i="6"/>
  <c r="S6" i="6"/>
  <c r="D18" i="6"/>
  <c r="AA18" i="6" s="1"/>
  <c r="D12" i="6"/>
  <c r="AH6" i="6"/>
  <c r="V6" i="6"/>
  <c r="AI18" i="6"/>
  <c r="C51" i="2"/>
  <c r="F49" i="2"/>
  <c r="F51" i="2" s="1"/>
  <c r="F52" i="2" s="1"/>
  <c r="B12" i="23" s="1"/>
  <c r="F45" i="2"/>
  <c r="K6" i="22" l="1"/>
  <c r="I6" i="22"/>
  <c r="AC6" i="22"/>
  <c r="M6" i="22"/>
  <c r="W6" i="22"/>
  <c r="AG6" i="22"/>
  <c r="Q6" i="22"/>
  <c r="AI6" i="22"/>
  <c r="S6" i="22"/>
  <c r="D24" i="22"/>
  <c r="W24" i="22" s="1"/>
  <c r="AK6" i="22"/>
  <c r="U6" i="22"/>
  <c r="AE6" i="22"/>
  <c r="O6" i="22"/>
  <c r="Y6" i="22"/>
  <c r="AA6" i="22"/>
  <c r="D18" i="22"/>
  <c r="D12" i="22"/>
  <c r="K8" i="22"/>
  <c r="AC8" i="22"/>
  <c r="M8" i="22"/>
  <c r="AE8" i="22"/>
  <c r="O8" i="22"/>
  <c r="Y8" i="22"/>
  <c r="AA8" i="22"/>
  <c r="D14" i="22"/>
  <c r="AK8" i="22"/>
  <c r="U8" i="22"/>
  <c r="W8" i="22"/>
  <c r="I8" i="22"/>
  <c r="AG8" i="22"/>
  <c r="Q8" i="22"/>
  <c r="AI8" i="22"/>
  <c r="S8" i="22"/>
  <c r="D20" i="22"/>
  <c r="D26" i="22"/>
  <c r="W26" i="22" s="1"/>
  <c r="AK21" i="22"/>
  <c r="AG21" i="22"/>
  <c r="AC21" i="22"/>
  <c r="Y21" i="22"/>
  <c r="U21" i="22"/>
  <c r="Q21" i="22"/>
  <c r="AH21" i="22"/>
  <c r="Z21" i="22"/>
  <c r="R21" i="22"/>
  <c r="L21" i="22"/>
  <c r="H21" i="22"/>
  <c r="AF21" i="22"/>
  <c r="X21" i="22"/>
  <c r="P21" i="22"/>
  <c r="K21" i="22"/>
  <c r="AI21" i="22"/>
  <c r="AE21" i="22"/>
  <c r="AA21" i="22"/>
  <c r="W21" i="22"/>
  <c r="S21" i="22"/>
  <c r="O21" i="22"/>
  <c r="AD21" i="22"/>
  <c r="V21" i="22"/>
  <c r="N21" i="22"/>
  <c r="J21" i="22"/>
  <c r="AJ21" i="22"/>
  <c r="AB21" i="22"/>
  <c r="T21" i="22"/>
  <c r="M21" i="22"/>
  <c r="I21" i="22"/>
  <c r="AL27" i="22"/>
  <c r="G27" i="22"/>
  <c r="AF15" i="22"/>
  <c r="L15" i="22"/>
  <c r="AA15" i="22"/>
  <c r="V15" i="22"/>
  <c r="AK15" i="22"/>
  <c r="Q15" i="22"/>
  <c r="G9" i="22"/>
  <c r="AL9" i="22"/>
  <c r="B4" i="23"/>
  <c r="E11" i="19"/>
  <c r="C7" i="24"/>
  <c r="O7" i="22"/>
  <c r="O10" i="22" s="1"/>
  <c r="AA7" i="22"/>
  <c r="AC7" i="22"/>
  <c r="Q7" i="22"/>
  <c r="AI7" i="22"/>
  <c r="AI10" i="22" s="1"/>
  <c r="AK7" i="22"/>
  <c r="AK10" i="22" s="1"/>
  <c r="W7" i="22"/>
  <c r="W10" i="22" s="1"/>
  <c r="D13" i="22"/>
  <c r="Y7" i="22"/>
  <c r="Y10" i="22" s="1"/>
  <c r="K7" i="22"/>
  <c r="K10" i="22" s="1"/>
  <c r="D30" i="22"/>
  <c r="M7" i="22"/>
  <c r="I7" i="22"/>
  <c r="AE7" i="22"/>
  <c r="AE10" i="22" s="1"/>
  <c r="D19" i="22"/>
  <c r="AG7" i="22"/>
  <c r="AG10" i="22" s="1"/>
  <c r="S7" i="22"/>
  <c r="S10" i="22" s="1"/>
  <c r="U7" i="22"/>
  <c r="D25" i="22"/>
  <c r="W25" i="22" s="1"/>
  <c r="AK15" i="6"/>
  <c r="L15" i="6"/>
  <c r="AA15" i="6"/>
  <c r="AF15" i="6"/>
  <c r="V15" i="6"/>
  <c r="G27" i="6"/>
  <c r="G21" i="6"/>
  <c r="G24" i="6"/>
  <c r="G9" i="6"/>
  <c r="AF18" i="6"/>
  <c r="T18" i="6"/>
  <c r="W18" i="6"/>
  <c r="P18" i="6"/>
  <c r="S18" i="6"/>
  <c r="AJ18" i="6"/>
  <c r="L18" i="6"/>
  <c r="AB18" i="6"/>
  <c r="O18" i="6"/>
  <c r="AE18" i="6"/>
  <c r="X18" i="6"/>
  <c r="K18" i="6"/>
  <c r="L12" i="6"/>
  <c r="V12" i="6"/>
  <c r="H18" i="6"/>
  <c r="N18" i="6"/>
  <c r="V18" i="6"/>
  <c r="AD18" i="6"/>
  <c r="M18" i="6"/>
  <c r="U18" i="6"/>
  <c r="AC18" i="6"/>
  <c r="AK18" i="6"/>
  <c r="J18" i="6"/>
  <c r="R18" i="6"/>
  <c r="Z18" i="6"/>
  <c r="AH18" i="6"/>
  <c r="I18" i="6"/>
  <c r="Y18" i="6"/>
  <c r="AG18" i="6"/>
  <c r="Q18" i="6"/>
  <c r="G6" i="6"/>
  <c r="AF12" i="6"/>
  <c r="AK12" i="6"/>
  <c r="AA12" i="6"/>
  <c r="Q12" i="6"/>
  <c r="D30" i="3"/>
  <c r="D38" i="3" s="1"/>
  <c r="D22" i="3"/>
  <c r="D14" i="3"/>
  <c r="W14" i="3" s="1"/>
  <c r="Q10" i="22" l="1"/>
  <c r="AC10" i="22"/>
  <c r="M10" i="22"/>
  <c r="U10" i="22"/>
  <c r="AA10" i="22"/>
  <c r="G15" i="22"/>
  <c r="AL26" i="22"/>
  <c r="G26" i="22"/>
  <c r="G8" i="22"/>
  <c r="AL8" i="22"/>
  <c r="AK14" i="22"/>
  <c r="Q14" i="22"/>
  <c r="V14" i="22"/>
  <c r="AA14" i="22"/>
  <c r="AF14" i="22"/>
  <c r="L14" i="22"/>
  <c r="AK12" i="22"/>
  <c r="Q12" i="22"/>
  <c r="V12" i="22"/>
  <c r="AA12" i="22"/>
  <c r="AF12" i="22"/>
  <c r="L12" i="22"/>
  <c r="AL24" i="22"/>
  <c r="G24" i="22"/>
  <c r="G6" i="22"/>
  <c r="AL6" i="22"/>
  <c r="G21" i="22"/>
  <c r="AL21" i="22"/>
  <c r="AJ20" i="22"/>
  <c r="AF20" i="22"/>
  <c r="AB20" i="22"/>
  <c r="X20" i="22"/>
  <c r="T20" i="22"/>
  <c r="P20" i="22"/>
  <c r="L20" i="22"/>
  <c r="H20" i="22"/>
  <c r="AI20" i="22"/>
  <c r="AE20" i="22"/>
  <c r="AA20" i="22"/>
  <c r="W20" i="22"/>
  <c r="S20" i="22"/>
  <c r="O20" i="22"/>
  <c r="K20" i="22"/>
  <c r="AH20" i="22"/>
  <c r="AD20" i="22"/>
  <c r="Z20" i="22"/>
  <c r="V20" i="22"/>
  <c r="R20" i="22"/>
  <c r="N20" i="22"/>
  <c r="J20" i="22"/>
  <c r="AK20" i="22"/>
  <c r="AG20" i="22"/>
  <c r="AC20" i="22"/>
  <c r="Y20" i="22"/>
  <c r="U20" i="22"/>
  <c r="Q20" i="22"/>
  <c r="M20" i="22"/>
  <c r="I20" i="22"/>
  <c r="AJ18" i="22"/>
  <c r="AF18" i="22"/>
  <c r="AB18" i="22"/>
  <c r="X18" i="22"/>
  <c r="T18" i="22"/>
  <c r="P18" i="22"/>
  <c r="L18" i="22"/>
  <c r="H18" i="22"/>
  <c r="AI18" i="22"/>
  <c r="AE18" i="22"/>
  <c r="AA18" i="22"/>
  <c r="W18" i="22"/>
  <c r="S18" i="22"/>
  <c r="O18" i="22"/>
  <c r="K18" i="22"/>
  <c r="AH18" i="22"/>
  <c r="AD18" i="22"/>
  <c r="Z18" i="22"/>
  <c r="V18" i="22"/>
  <c r="R18" i="22"/>
  <c r="N18" i="22"/>
  <c r="J18" i="22"/>
  <c r="AK18" i="22"/>
  <c r="AG18" i="22"/>
  <c r="AC18" i="22"/>
  <c r="Y18" i="22"/>
  <c r="U18" i="22"/>
  <c r="Q18" i="22"/>
  <c r="M18" i="22"/>
  <c r="I18" i="22"/>
  <c r="W28" i="22"/>
  <c r="G25" i="22"/>
  <c r="AL25" i="22"/>
  <c r="AD19" i="22"/>
  <c r="V19" i="22"/>
  <c r="N19" i="22"/>
  <c r="AK19" i="22"/>
  <c r="AK22" i="22" s="1"/>
  <c r="AC19" i="22"/>
  <c r="U19" i="22"/>
  <c r="M19" i="22"/>
  <c r="AF19" i="22"/>
  <c r="X19" i="22"/>
  <c r="X22" i="22" s="1"/>
  <c r="P19" i="22"/>
  <c r="H19" i="22"/>
  <c r="AE19" i="22"/>
  <c r="W19" i="22"/>
  <c r="W22" i="22" s="1"/>
  <c r="O19" i="22"/>
  <c r="AH19" i="22"/>
  <c r="Z19" i="22"/>
  <c r="R19" i="22"/>
  <c r="R22" i="22" s="1"/>
  <c r="J19" i="22"/>
  <c r="AG19" i="22"/>
  <c r="Y19" i="22"/>
  <c r="Q19" i="22"/>
  <c r="Q22" i="22" s="1"/>
  <c r="I19" i="22"/>
  <c r="AJ19" i="22"/>
  <c r="AB19" i="22"/>
  <c r="AB22" i="22" s="1"/>
  <c r="T19" i="22"/>
  <c r="L19" i="22"/>
  <c r="L22" i="22" s="1"/>
  <c r="AI19" i="22"/>
  <c r="AA19" i="22"/>
  <c r="AA22" i="22" s="1"/>
  <c r="S19" i="22"/>
  <c r="K19" i="22"/>
  <c r="K22" i="22" s="1"/>
  <c r="AF30" i="22"/>
  <c r="AF31" i="22" s="1"/>
  <c r="X30" i="22"/>
  <c r="X31" i="22" s="1"/>
  <c r="P30" i="22"/>
  <c r="P31" i="22" s="1"/>
  <c r="H30" i="22"/>
  <c r="AE30" i="22"/>
  <c r="AE31" i="22" s="1"/>
  <c r="W30" i="22"/>
  <c r="W31" i="22" s="1"/>
  <c r="O30" i="22"/>
  <c r="O31" i="22" s="1"/>
  <c r="AH30" i="22"/>
  <c r="AH31" i="22" s="1"/>
  <c r="Z30" i="22"/>
  <c r="Z31" i="22" s="1"/>
  <c r="R30" i="22"/>
  <c r="R31" i="22" s="1"/>
  <c r="J30" i="22"/>
  <c r="J31" i="22" s="1"/>
  <c r="AG30" i="22"/>
  <c r="AG31" i="22" s="1"/>
  <c r="Y30" i="22"/>
  <c r="Y31" i="22" s="1"/>
  <c r="Q30" i="22"/>
  <c r="Q31" i="22" s="1"/>
  <c r="I30" i="22"/>
  <c r="I31" i="22" s="1"/>
  <c r="AJ30" i="22"/>
  <c r="AJ31" i="22" s="1"/>
  <c r="AB30" i="22"/>
  <c r="AB31" i="22" s="1"/>
  <c r="T30" i="22"/>
  <c r="T31" i="22" s="1"/>
  <c r="L30" i="22"/>
  <c r="L31" i="22" s="1"/>
  <c r="AI30" i="22"/>
  <c r="AI31" i="22" s="1"/>
  <c r="AA30" i="22"/>
  <c r="AA31" i="22" s="1"/>
  <c r="S30" i="22"/>
  <c r="S31" i="22" s="1"/>
  <c r="K30" i="22"/>
  <c r="K31" i="22" s="1"/>
  <c r="V30" i="22"/>
  <c r="V31" i="22" s="1"/>
  <c r="AC30" i="22"/>
  <c r="AC31" i="22" s="1"/>
  <c r="M30" i="22"/>
  <c r="M31" i="22" s="1"/>
  <c r="AD30" i="22"/>
  <c r="AD31" i="22" s="1"/>
  <c r="N30" i="22"/>
  <c r="N31" i="22" s="1"/>
  <c r="AK30" i="22"/>
  <c r="AK31" i="22" s="1"/>
  <c r="U30" i="22"/>
  <c r="U31" i="22" s="1"/>
  <c r="AF13" i="22"/>
  <c r="AF16" i="22" s="1"/>
  <c r="AA13" i="22"/>
  <c r="AK13" i="22"/>
  <c r="L13" i="22"/>
  <c r="V13" i="22"/>
  <c r="V16" i="22" s="1"/>
  <c r="Q13" i="22"/>
  <c r="AL7" i="22"/>
  <c r="G7" i="22"/>
  <c r="G10" i="22" s="1"/>
  <c r="I10" i="22"/>
  <c r="G15" i="6"/>
  <c r="W30" i="3"/>
  <c r="G12" i="6"/>
  <c r="G18" i="6"/>
  <c r="D7" i="15"/>
  <c r="D7" i="16"/>
  <c r="S22" i="22" l="1"/>
  <c r="AI22" i="22"/>
  <c r="AI33" i="22" s="1"/>
  <c r="T22" i="22"/>
  <c r="AJ22" i="22"/>
  <c r="M22" i="22"/>
  <c r="AC22" i="22"/>
  <c r="N22" i="22"/>
  <c r="AD22" i="22"/>
  <c r="AK16" i="22"/>
  <c r="AK33" i="22" s="1"/>
  <c r="Y22" i="22"/>
  <c r="Z22" i="22"/>
  <c r="AE22" i="22"/>
  <c r="AE33" i="22" s="1"/>
  <c r="AF22" i="22"/>
  <c r="AF33" i="22" s="1"/>
  <c r="AG22" i="22"/>
  <c r="AH22" i="22"/>
  <c r="G28" i="22"/>
  <c r="Q16" i="22"/>
  <c r="AA16" i="22"/>
  <c r="AA33" i="22" s="1"/>
  <c r="I22" i="22"/>
  <c r="J22" i="22"/>
  <c r="O22" i="22"/>
  <c r="P22" i="22"/>
  <c r="U22" i="22"/>
  <c r="V22" i="22"/>
  <c r="M33" i="22"/>
  <c r="S33" i="22"/>
  <c r="U33" i="22"/>
  <c r="Q33" i="22"/>
  <c r="K33" i="22"/>
  <c r="Y33" i="22"/>
  <c r="J33" i="22"/>
  <c r="O33" i="22"/>
  <c r="P33" i="22"/>
  <c r="W33" i="22"/>
  <c r="AG33" i="22"/>
  <c r="AL18" i="22"/>
  <c r="G18" i="22"/>
  <c r="G20" i="22"/>
  <c r="AL20" i="22"/>
  <c r="G12" i="22"/>
  <c r="AL12" i="22"/>
  <c r="G14" i="22"/>
  <c r="AL14" i="22"/>
  <c r="G13" i="22"/>
  <c r="L16" i="22"/>
  <c r="L33" i="22" s="1"/>
  <c r="AL13" i="22"/>
  <c r="AH33" i="22"/>
  <c r="N33" i="22"/>
  <c r="AL30" i="22"/>
  <c r="H31" i="22"/>
  <c r="G30" i="22"/>
  <c r="G19" i="22"/>
  <c r="G22" i="22" s="1"/>
  <c r="H22" i="22"/>
  <c r="AL19" i="22"/>
  <c r="AJ33" i="22"/>
  <c r="AC33" i="22"/>
  <c r="AB33" i="22"/>
  <c r="Z33" i="22"/>
  <c r="I33" i="22"/>
  <c r="V33" i="22"/>
  <c r="T33" i="22"/>
  <c r="R33" i="22"/>
  <c r="X33" i="22"/>
  <c r="AD33" i="22"/>
  <c r="D7" i="6"/>
  <c r="T43" i="19" l="1"/>
  <c r="P43" i="19"/>
  <c r="E43" i="19"/>
  <c r="X43" i="19"/>
  <c r="AF43" i="19"/>
  <c r="Z43" i="19"/>
  <c r="N43" i="19"/>
  <c r="R43" i="19"/>
  <c r="V43" i="19"/>
  <c r="Y43" i="19"/>
  <c r="J43" i="19"/>
  <c r="S43" i="19"/>
  <c r="K43" i="19"/>
  <c r="U43" i="19"/>
  <c r="M43" i="19"/>
  <c r="O43" i="19"/>
  <c r="W43" i="19"/>
  <c r="AA43" i="19"/>
  <c r="AE43" i="19"/>
  <c r="AD43" i="19"/>
  <c r="H43" i="19"/>
  <c r="AC43" i="19"/>
  <c r="L43" i="19"/>
  <c r="F43" i="19"/>
  <c r="G43" i="19"/>
  <c r="Q43" i="19"/>
  <c r="I43" i="19"/>
  <c r="AB43" i="19"/>
  <c r="AG43" i="19"/>
  <c r="H33" i="22"/>
  <c r="G16" i="22"/>
  <c r="K11" i="19"/>
  <c r="J11" i="19"/>
  <c r="L11" i="19"/>
  <c r="G31" i="22"/>
  <c r="H34" i="22" s="1"/>
  <c r="I11" i="19" s="1"/>
  <c r="B13" i="23" a="1"/>
  <c r="D8" i="6"/>
  <c r="D30" i="6" s="1"/>
  <c r="D13" i="6"/>
  <c r="E7" i="6"/>
  <c r="D43" i="19" l="1"/>
  <c r="AB7" i="6"/>
  <c r="E25" i="6"/>
  <c r="B33" i="23"/>
  <c r="B23" i="23"/>
  <c r="B21" i="23"/>
  <c r="B14" i="23"/>
  <c r="B38" i="23"/>
  <c r="B32" i="23"/>
  <c r="B26" i="23"/>
  <c r="B20" i="23"/>
  <c r="B39" i="23"/>
  <c r="B37" i="23"/>
  <c r="B27" i="23"/>
  <c r="B25" i="23"/>
  <c r="B13" i="23"/>
  <c r="B42" i="23"/>
  <c r="B36" i="23"/>
  <c r="B30" i="23"/>
  <c r="B24" i="23"/>
  <c r="B18" i="23"/>
  <c r="B41" i="23"/>
  <c r="B31" i="23"/>
  <c r="B29" i="23"/>
  <c r="B19" i="23"/>
  <c r="B15" i="23"/>
  <c r="B17" i="23"/>
  <c r="B40" i="23"/>
  <c r="B34" i="23"/>
  <c r="B28" i="23"/>
  <c r="B22" i="23"/>
  <c r="B16" i="23"/>
  <c r="B35" i="23"/>
  <c r="AK7" i="6"/>
  <c r="P7" i="6"/>
  <c r="V7" i="6"/>
  <c r="M7" i="6"/>
  <c r="J7" i="6"/>
  <c r="AE7" i="6"/>
  <c r="S7" i="6"/>
  <c r="AH7" i="6"/>
  <c r="L13" i="6"/>
  <c r="V13" i="6"/>
  <c r="AK13" i="6"/>
  <c r="AA13" i="6"/>
  <c r="AF13" i="6"/>
  <c r="Q13" i="6"/>
  <c r="V8" i="6"/>
  <c r="AK8" i="6"/>
  <c r="Y8" i="6"/>
  <c r="M8" i="6"/>
  <c r="J8" i="6"/>
  <c r="AH8" i="6"/>
  <c r="AB8" i="6"/>
  <c r="AB10" i="6" s="1"/>
  <c r="P8" i="6"/>
  <c r="AE8" i="6"/>
  <c r="S8" i="6"/>
  <c r="Y7" i="6"/>
  <c r="Y10" i="6" s="1"/>
  <c r="D19" i="6"/>
  <c r="D26" i="6"/>
  <c r="W26" i="6" s="1"/>
  <c r="D20" i="6"/>
  <c r="D14" i="6"/>
  <c r="L14" i="6" s="1"/>
  <c r="D25" i="6"/>
  <c r="W25" i="6" s="1"/>
  <c r="B3" i="23" l="1"/>
  <c r="M10" i="6"/>
  <c r="J10" i="6"/>
  <c r="S10" i="6"/>
  <c r="P10" i="6"/>
  <c r="W28" i="6"/>
  <c r="AE10" i="6"/>
  <c r="V10" i="6"/>
  <c r="AH10" i="6"/>
  <c r="L16" i="6"/>
  <c r="G8" i="6"/>
  <c r="AK10" i="6"/>
  <c r="I30" i="6"/>
  <c r="M30" i="6"/>
  <c r="Q30" i="6"/>
  <c r="U30" i="6"/>
  <c r="Y30" i="6"/>
  <c r="AC30" i="6"/>
  <c r="AG30" i="6"/>
  <c r="AK30" i="6"/>
  <c r="O30" i="6"/>
  <c r="AA30" i="6"/>
  <c r="J30" i="6"/>
  <c r="N30" i="6"/>
  <c r="R30" i="6"/>
  <c r="V30" i="6"/>
  <c r="Z30" i="6"/>
  <c r="AD30" i="6"/>
  <c r="AH30" i="6"/>
  <c r="H30" i="6"/>
  <c r="K30" i="6"/>
  <c r="W30" i="6"/>
  <c r="AI30" i="6"/>
  <c r="L30" i="6"/>
  <c r="P30" i="6"/>
  <c r="T30" i="6"/>
  <c r="X30" i="6"/>
  <c r="AB30" i="6"/>
  <c r="AF30" i="6"/>
  <c r="AJ30" i="6"/>
  <c r="S30" i="6"/>
  <c r="AE30" i="6"/>
  <c r="O19" i="6"/>
  <c r="AH19" i="6"/>
  <c r="AD19" i="6"/>
  <c r="Z19" i="6"/>
  <c r="V19" i="6"/>
  <c r="R19" i="6"/>
  <c r="N19" i="6"/>
  <c r="J19" i="6"/>
  <c r="AK19" i="6"/>
  <c r="AG19" i="6"/>
  <c r="AC19" i="6"/>
  <c r="Y19" i="6"/>
  <c r="U19" i="6"/>
  <c r="Q19" i="6"/>
  <c r="M19" i="6"/>
  <c r="H19" i="6"/>
  <c r="AI19" i="6"/>
  <c r="AA19" i="6"/>
  <c r="S19" i="6"/>
  <c r="AJ19" i="6"/>
  <c r="AF19" i="6"/>
  <c r="AB19" i="6"/>
  <c r="X19" i="6"/>
  <c r="T19" i="6"/>
  <c r="P19" i="6"/>
  <c r="L19" i="6"/>
  <c r="I19" i="6"/>
  <c r="AE19" i="6"/>
  <c r="W19" i="6"/>
  <c r="K19" i="6"/>
  <c r="AK14" i="6"/>
  <c r="AK16" i="6" s="1"/>
  <c r="V14" i="6"/>
  <c r="V16" i="6" s="1"/>
  <c r="AA14" i="6"/>
  <c r="AA16" i="6" s="1"/>
  <c r="AF14" i="6"/>
  <c r="AF16" i="6" s="1"/>
  <c r="Q14" i="6"/>
  <c r="Q16" i="6" s="1"/>
  <c r="AH20" i="6"/>
  <c r="AD20" i="6"/>
  <c r="Z20" i="6"/>
  <c r="V20" i="6"/>
  <c r="R20" i="6"/>
  <c r="N20" i="6"/>
  <c r="J20" i="6"/>
  <c r="AK20" i="6"/>
  <c r="AG20" i="6"/>
  <c r="AC20" i="6"/>
  <c r="Y20" i="6"/>
  <c r="U20" i="6"/>
  <c r="Q20" i="6"/>
  <c r="M20" i="6"/>
  <c r="I20" i="6"/>
  <c r="AE20" i="6"/>
  <c r="W20" i="6"/>
  <c r="O20" i="6"/>
  <c r="AJ20" i="6"/>
  <c r="AF20" i="6"/>
  <c r="AB20" i="6"/>
  <c r="X20" i="6"/>
  <c r="T20" i="6"/>
  <c r="P20" i="6"/>
  <c r="L20" i="6"/>
  <c r="AI20" i="6"/>
  <c r="AA20" i="6"/>
  <c r="S20" i="6"/>
  <c r="K20" i="6"/>
  <c r="H20" i="6"/>
  <c r="Q10" i="6"/>
  <c r="N10" i="6"/>
  <c r="W10" i="6"/>
  <c r="T10" i="6"/>
  <c r="B6" i="23" l="1"/>
  <c r="B7" i="24"/>
  <c r="D11" i="19"/>
  <c r="P22" i="6"/>
  <c r="AF22" i="6"/>
  <c r="U22" i="6"/>
  <c r="AK22" i="6"/>
  <c r="V22" i="6"/>
  <c r="AE22" i="6"/>
  <c r="T22" i="6"/>
  <c r="AJ22" i="6"/>
  <c r="H22" i="6"/>
  <c r="Y22" i="6"/>
  <c r="J22" i="6"/>
  <c r="Z22" i="6"/>
  <c r="W22" i="6"/>
  <c r="AI22" i="6"/>
  <c r="O22" i="6"/>
  <c r="K22" i="6"/>
  <c r="L22" i="6"/>
  <c r="AB22" i="6"/>
  <c r="AA22" i="6"/>
  <c r="Q22" i="6"/>
  <c r="AG22" i="6"/>
  <c r="R22" i="6"/>
  <c r="AH22" i="6"/>
  <c r="I22" i="6"/>
  <c r="X22" i="6"/>
  <c r="S22" i="6"/>
  <c r="M22" i="6"/>
  <c r="AC22" i="6"/>
  <c r="N22" i="6"/>
  <c r="AD22" i="6"/>
  <c r="C32" i="2"/>
  <c r="F30" i="2"/>
  <c r="F28" i="2"/>
  <c r="F27" i="2"/>
  <c r="AE28" i="6"/>
  <c r="O28" i="6"/>
  <c r="B7" i="23" l="1"/>
  <c r="G11" i="19"/>
  <c r="E7" i="24"/>
  <c r="F32" i="2"/>
  <c r="F7" i="24" l="1"/>
  <c r="H11" i="19"/>
  <c r="I13" i="19" s="1"/>
  <c r="F10" i="19"/>
  <c r="F9" i="19"/>
  <c r="L28" i="6" l="1"/>
  <c r="T28" i="6"/>
  <c r="AB28" i="6"/>
  <c r="AJ28" i="6"/>
  <c r="I28" i="6"/>
  <c r="M28" i="6"/>
  <c r="Y28" i="6"/>
  <c r="AC28" i="6"/>
  <c r="AK28" i="6"/>
  <c r="AI28" i="6"/>
  <c r="Z28" i="6"/>
  <c r="K28" i="6"/>
  <c r="AA28" i="6"/>
  <c r="AJ36" i="3"/>
  <c r="I36" i="3"/>
  <c r="Q36" i="3"/>
  <c r="Y36" i="3"/>
  <c r="AG36" i="3"/>
  <c r="AI36" i="3"/>
  <c r="J36" i="3"/>
  <c r="N36" i="3"/>
  <c r="R36" i="3"/>
  <c r="V36" i="3"/>
  <c r="Z36" i="3"/>
  <c r="AD36" i="3"/>
  <c r="AH36" i="3"/>
  <c r="O36" i="3"/>
  <c r="AE36" i="3"/>
  <c r="H36" i="3"/>
  <c r="L36" i="3"/>
  <c r="P36" i="3"/>
  <c r="T36" i="3"/>
  <c r="X36" i="3"/>
  <c r="AF36" i="3"/>
  <c r="N28" i="6" l="1"/>
  <c r="S28" i="6"/>
  <c r="J28" i="6"/>
  <c r="G26" i="6"/>
  <c r="U28" i="6"/>
  <c r="AD28" i="6"/>
  <c r="AH28" i="6"/>
  <c r="AG28" i="6"/>
  <c r="Q28" i="6"/>
  <c r="R28" i="6"/>
  <c r="AF28" i="6"/>
  <c r="P28" i="6"/>
  <c r="V28" i="6"/>
  <c r="X28" i="6"/>
  <c r="H28" i="6"/>
  <c r="AK36" i="3"/>
  <c r="U36" i="3"/>
  <c r="S36" i="3"/>
  <c r="AA36" i="3"/>
  <c r="K36" i="3"/>
  <c r="AC36" i="3"/>
  <c r="M36" i="3"/>
  <c r="AB36" i="3"/>
  <c r="K10" i="6" l="1"/>
  <c r="O10" i="6"/>
  <c r="X20" i="3" l="1"/>
  <c r="F8" i="2"/>
  <c r="F7" i="2"/>
  <c r="O12" i="3"/>
  <c r="AE31" i="6"/>
  <c r="AE33" i="6" s="1"/>
  <c r="C14" i="6"/>
  <c r="F24" i="2"/>
  <c r="C20" i="6"/>
  <c r="C19" i="6"/>
  <c r="C13" i="6"/>
  <c r="X10" i="6"/>
  <c r="R10" i="6"/>
  <c r="L10" i="6"/>
  <c r="I10" i="6"/>
  <c r="H10" i="6"/>
  <c r="J12" i="3"/>
  <c r="N12" i="3"/>
  <c r="V12" i="3"/>
  <c r="Z12" i="3"/>
  <c r="AD12" i="3"/>
  <c r="AH12" i="3"/>
  <c r="AL5" i="3"/>
  <c r="C22" i="3"/>
  <c r="C15" i="3"/>
  <c r="C14" i="3"/>
  <c r="H12" i="3"/>
  <c r="AJ12" i="3"/>
  <c r="AF12" i="3"/>
  <c r="AB12" i="3"/>
  <c r="X12" i="3"/>
  <c r="T12" i="3"/>
  <c r="P12" i="3"/>
  <c r="L12" i="3"/>
  <c r="I20" i="3"/>
  <c r="AK12" i="3"/>
  <c r="AG12" i="3"/>
  <c r="Y12" i="3"/>
  <c r="U12" i="3"/>
  <c r="Q12" i="3"/>
  <c r="M12" i="3"/>
  <c r="I12" i="3"/>
  <c r="L20" i="3"/>
  <c r="AJ20" i="3"/>
  <c r="AF20" i="3"/>
  <c r="T20" i="3"/>
  <c r="P20" i="3"/>
  <c r="AI20" i="3"/>
  <c r="W20" i="3"/>
  <c r="O20" i="3"/>
  <c r="K20" i="3"/>
  <c r="H20" i="3"/>
  <c r="AH20" i="3"/>
  <c r="AD20" i="3"/>
  <c r="Z20" i="3"/>
  <c r="V20" i="3"/>
  <c r="N20" i="3"/>
  <c r="J20" i="3"/>
  <c r="AG20" i="3"/>
  <c r="AC20" i="3"/>
  <c r="U20" i="3"/>
  <c r="F77" i="2"/>
  <c r="C76" i="2"/>
  <c r="F75" i="2"/>
  <c r="F74" i="2"/>
  <c r="F73" i="2"/>
  <c r="F72" i="2"/>
  <c r="F71" i="2"/>
  <c r="F70" i="2"/>
  <c r="F69" i="2"/>
  <c r="F68" i="2"/>
  <c r="C67" i="2"/>
  <c r="F66" i="2"/>
  <c r="F65" i="2"/>
  <c r="F64" i="2"/>
  <c r="F63" i="2"/>
  <c r="F62" i="2"/>
  <c r="F61" i="2"/>
  <c r="AA31" i="6"/>
  <c r="AA33" i="6" s="1"/>
  <c r="W31" i="6"/>
  <c r="W33" i="6" s="1"/>
  <c r="R31" i="6"/>
  <c r="Z31" i="6"/>
  <c r="Z33" i="6" s="1"/>
  <c r="AJ31" i="6"/>
  <c r="AJ33" i="6" s="1"/>
  <c r="O31" i="6"/>
  <c r="O33" i="6" s="1"/>
  <c r="K31" i="6"/>
  <c r="K33" i="6" s="1"/>
  <c r="K12" i="3"/>
  <c r="AI12" i="3"/>
  <c r="AA12" i="3"/>
  <c r="X31" i="6"/>
  <c r="AD31" i="6"/>
  <c r="AD33" i="6" s="1"/>
  <c r="M31" i="6"/>
  <c r="M33" i="6" s="1"/>
  <c r="N31" i="6"/>
  <c r="N33" i="6" s="1"/>
  <c r="S31" i="6"/>
  <c r="S33" i="6" s="1"/>
  <c r="Y31" i="6"/>
  <c r="Y33" i="6" s="1"/>
  <c r="Q20" i="3"/>
  <c r="AK31" i="6"/>
  <c r="AK33" i="6" s="1"/>
  <c r="V31" i="6"/>
  <c r="V33" i="6" s="1"/>
  <c r="P31" i="6"/>
  <c r="P33" i="6" s="1"/>
  <c r="AB31" i="6"/>
  <c r="AB33" i="6" s="1"/>
  <c r="AF31" i="6"/>
  <c r="AF33" i="6" s="1"/>
  <c r="Q31" i="6"/>
  <c r="Q33" i="6" s="1"/>
  <c r="AA20" i="3"/>
  <c r="AB44" i="19" l="1"/>
  <c r="M44" i="19"/>
  <c r="X44" i="19"/>
  <c r="R44" i="19"/>
  <c r="O44" i="19"/>
  <c r="I44" i="19"/>
  <c r="G44" i="19"/>
  <c r="AF44" i="19"/>
  <c r="W44" i="19"/>
  <c r="L44" i="19"/>
  <c r="AG44" i="19"/>
  <c r="U44" i="19"/>
  <c r="J44" i="19"/>
  <c r="Z44" i="19"/>
  <c r="K44" i="19"/>
  <c r="V44" i="19"/>
  <c r="S44" i="19"/>
  <c r="AA44" i="19"/>
  <c r="F14" i="2"/>
  <c r="X33" i="6"/>
  <c r="R33" i="6"/>
  <c r="AE20" i="3"/>
  <c r="S20" i="3"/>
  <c r="AH22" i="3"/>
  <c r="AD22" i="3"/>
  <c r="Z22" i="3"/>
  <c r="V22" i="3"/>
  <c r="R22" i="3"/>
  <c r="N22" i="3"/>
  <c r="J22" i="3"/>
  <c r="AK22" i="3"/>
  <c r="AG22" i="3"/>
  <c r="AC22" i="3"/>
  <c r="Y22" i="3"/>
  <c r="U22" i="3"/>
  <c r="Q22" i="3"/>
  <c r="M22" i="3"/>
  <c r="I22" i="3"/>
  <c r="AJ22" i="3"/>
  <c r="AF22" i="3"/>
  <c r="AB22" i="3"/>
  <c r="X22" i="3"/>
  <c r="T22" i="3"/>
  <c r="P22" i="3"/>
  <c r="L22" i="3"/>
  <c r="AI22" i="3"/>
  <c r="AE22" i="3"/>
  <c r="AA22" i="3"/>
  <c r="W22" i="3"/>
  <c r="S22" i="3"/>
  <c r="O22" i="3"/>
  <c r="K22" i="3"/>
  <c r="H22" i="3"/>
  <c r="AK27" i="3"/>
  <c r="AG27" i="3"/>
  <c r="AC27" i="3"/>
  <c r="Y27" i="3"/>
  <c r="U27" i="3"/>
  <c r="Q27" i="3"/>
  <c r="M27" i="3"/>
  <c r="I27" i="3"/>
  <c r="AJ27" i="3"/>
  <c r="AF27" i="3"/>
  <c r="AB27" i="3"/>
  <c r="X27" i="3"/>
  <c r="T27" i="3"/>
  <c r="P27" i="3"/>
  <c r="L27" i="3"/>
  <c r="AI27" i="3"/>
  <c r="AE27" i="3"/>
  <c r="AA27" i="3"/>
  <c r="W27" i="3"/>
  <c r="S27" i="3"/>
  <c r="O27" i="3"/>
  <c r="K27" i="3"/>
  <c r="AH27" i="3"/>
  <c r="AD27" i="3"/>
  <c r="Z27" i="3"/>
  <c r="V27" i="3"/>
  <c r="R27" i="3"/>
  <c r="N27" i="3"/>
  <c r="J27" i="3"/>
  <c r="I31" i="6"/>
  <c r="I33" i="6" s="1"/>
  <c r="G14" i="6"/>
  <c r="G7" i="6"/>
  <c r="G10" i="6" s="1"/>
  <c r="R12" i="3"/>
  <c r="AL11" i="3"/>
  <c r="F67" i="2"/>
  <c r="F76" i="2"/>
  <c r="F23" i="2"/>
  <c r="F26" i="2" s="1"/>
  <c r="F33" i="2" s="1"/>
  <c r="B12" i="8" s="1"/>
  <c r="AC31" i="6"/>
  <c r="AC33" i="6" s="1"/>
  <c r="AH31" i="6"/>
  <c r="AH33" i="6" s="1"/>
  <c r="AG31" i="6"/>
  <c r="AG33" i="6" s="1"/>
  <c r="AI31" i="6"/>
  <c r="AI33" i="6" s="1"/>
  <c r="J31" i="6"/>
  <c r="J33" i="6" s="1"/>
  <c r="T31" i="6"/>
  <c r="T33" i="6" s="1"/>
  <c r="L31" i="6"/>
  <c r="L33" i="6" s="1"/>
  <c r="U31" i="6"/>
  <c r="U33" i="6" s="1"/>
  <c r="H31" i="6"/>
  <c r="AL6" i="3"/>
  <c r="AC12" i="3"/>
  <c r="Q44" i="19" l="1"/>
  <c r="P44" i="19"/>
  <c r="AE44" i="19"/>
  <c r="AD44" i="19"/>
  <c r="T44" i="19"/>
  <c r="H44" i="19"/>
  <c r="F44" i="19"/>
  <c r="AC44" i="19"/>
  <c r="Y44" i="19"/>
  <c r="E44" i="19"/>
  <c r="N44" i="19"/>
  <c r="G27" i="3"/>
  <c r="K10" i="19"/>
  <c r="H33" i="6"/>
  <c r="AL15" i="3"/>
  <c r="AH28" i="3"/>
  <c r="AG38" i="3"/>
  <c r="AG39" i="3" s="1"/>
  <c r="AG41" i="3" s="1"/>
  <c r="AK28" i="3"/>
  <c r="L28" i="3"/>
  <c r="AJ28" i="3"/>
  <c r="V28" i="3"/>
  <c r="K28" i="3"/>
  <c r="Q28" i="3"/>
  <c r="AG28" i="3"/>
  <c r="AI28" i="3"/>
  <c r="X28" i="3"/>
  <c r="Z28" i="3"/>
  <c r="N28" i="3"/>
  <c r="AE28" i="3"/>
  <c r="W36" i="3"/>
  <c r="I28" i="3"/>
  <c r="J28" i="3"/>
  <c r="AD28" i="3"/>
  <c r="G30" i="6"/>
  <c r="J10" i="19"/>
  <c r="U28" i="3"/>
  <c r="S28" i="3"/>
  <c r="O28" i="3"/>
  <c r="F15" i="2"/>
  <c r="G25" i="6"/>
  <c r="G28" i="6" s="1"/>
  <c r="AL35" i="3"/>
  <c r="AC28" i="3"/>
  <c r="T28" i="3"/>
  <c r="AA28" i="3"/>
  <c r="AL30" i="3"/>
  <c r="G30" i="3"/>
  <c r="G19" i="6"/>
  <c r="F79" i="2"/>
  <c r="P28" i="3"/>
  <c r="W28" i="3"/>
  <c r="G13" i="6"/>
  <c r="G16" i="6" s="1"/>
  <c r="AL27" i="3"/>
  <c r="R28" i="3"/>
  <c r="M28" i="3"/>
  <c r="AF28" i="3"/>
  <c r="Y28" i="3"/>
  <c r="AB28" i="3"/>
  <c r="G14" i="3"/>
  <c r="G20" i="3" s="1"/>
  <c r="AL14" i="3"/>
  <c r="H28" i="3"/>
  <c r="AL22" i="3"/>
  <c r="G22" i="3"/>
  <c r="AC42" i="19" l="1"/>
  <c r="AG36" i="22"/>
  <c r="AG36" i="6"/>
  <c r="D44" i="19"/>
  <c r="B12" i="7"/>
  <c r="B4" i="7" s="1"/>
  <c r="C7" i="15" s="1"/>
  <c r="AJ38" i="3"/>
  <c r="AJ39" i="3" s="1"/>
  <c r="AJ41" i="3" s="1"/>
  <c r="W38" i="3"/>
  <c r="W39" i="3" s="1"/>
  <c r="W41" i="3" s="1"/>
  <c r="U38" i="3"/>
  <c r="U39" i="3" s="1"/>
  <c r="U41" i="3" s="1"/>
  <c r="AH38" i="3"/>
  <c r="AH39" i="3" s="1"/>
  <c r="AH41" i="3" s="1"/>
  <c r="S38" i="3"/>
  <c r="S39" i="3" s="1"/>
  <c r="S41" i="3" s="1"/>
  <c r="P38" i="3"/>
  <c r="P39" i="3" s="1"/>
  <c r="P41" i="3" s="1"/>
  <c r="AA38" i="3"/>
  <c r="AA39" i="3" s="1"/>
  <c r="AA41" i="3" s="1"/>
  <c r="AB38" i="3"/>
  <c r="AB39" i="3" s="1"/>
  <c r="AB41" i="3" s="1"/>
  <c r="X38" i="3"/>
  <c r="X39" i="3" s="1"/>
  <c r="X41" i="3" s="1"/>
  <c r="Z38" i="3"/>
  <c r="Z39" i="3" s="1"/>
  <c r="Z41" i="3" s="1"/>
  <c r="R38" i="3"/>
  <c r="R39" i="3" s="1"/>
  <c r="R41" i="3" s="1"/>
  <c r="K38" i="3"/>
  <c r="K39" i="3" s="1"/>
  <c r="K41" i="3" s="1"/>
  <c r="Y38" i="3"/>
  <c r="Y39" i="3" s="1"/>
  <c r="Y41" i="3" s="1"/>
  <c r="AC38" i="3"/>
  <c r="AC39" i="3" s="1"/>
  <c r="AC41" i="3" s="1"/>
  <c r="AK38" i="3"/>
  <c r="AK39" i="3" s="1"/>
  <c r="AK41" i="3" s="1"/>
  <c r="AF38" i="3"/>
  <c r="AF39" i="3" s="1"/>
  <c r="AF41" i="3" s="1"/>
  <c r="AD38" i="3"/>
  <c r="AD39" i="3" s="1"/>
  <c r="AD41" i="3" s="1"/>
  <c r="Q38" i="3"/>
  <c r="Q39" i="3" s="1"/>
  <c r="Q41" i="3" s="1"/>
  <c r="M38" i="3"/>
  <c r="M39" i="3" s="1"/>
  <c r="M41" i="3" s="1"/>
  <c r="N38" i="3"/>
  <c r="N39" i="3" s="1"/>
  <c r="N41" i="3" s="1"/>
  <c r="T38" i="3"/>
  <c r="T39" i="3" s="1"/>
  <c r="T41" i="3" s="1"/>
  <c r="O38" i="3"/>
  <c r="O39" i="3" s="1"/>
  <c r="O41" i="3" s="1"/>
  <c r="I38" i="3"/>
  <c r="I39" i="3" s="1"/>
  <c r="I41" i="3" s="1"/>
  <c r="J38" i="3"/>
  <c r="J39" i="3" s="1"/>
  <c r="J41" i="3" s="1"/>
  <c r="AE38" i="3"/>
  <c r="AE39" i="3" s="1"/>
  <c r="AE41" i="3" s="1"/>
  <c r="L38" i="3"/>
  <c r="L39" i="3" s="1"/>
  <c r="L41" i="3" s="1"/>
  <c r="AI38" i="3"/>
  <c r="AI39" i="3" s="1"/>
  <c r="AI41" i="3" s="1"/>
  <c r="V38" i="3"/>
  <c r="V39" i="3" s="1"/>
  <c r="V41" i="3" s="1"/>
  <c r="H38" i="3"/>
  <c r="H39" i="3" s="1"/>
  <c r="H41" i="3" s="1"/>
  <c r="G36" i="3"/>
  <c r="G31" i="6"/>
  <c r="L10" i="19"/>
  <c r="G20" i="6"/>
  <c r="G22" i="6" s="1"/>
  <c r="G28" i="3"/>
  <c r="R42" i="19" l="1"/>
  <c r="V36" i="22"/>
  <c r="V36" i="6"/>
  <c r="H42" i="19"/>
  <c r="L36" i="22"/>
  <c r="L36" i="6"/>
  <c r="F42" i="19"/>
  <c r="J36" i="22"/>
  <c r="J36" i="6"/>
  <c r="K42" i="19"/>
  <c r="O36" i="22"/>
  <c r="O36" i="6"/>
  <c r="J42" i="19"/>
  <c r="N36" i="22"/>
  <c r="N36" i="6"/>
  <c r="M42" i="19"/>
  <c r="Q36" i="22"/>
  <c r="Q36" i="6"/>
  <c r="AB42" i="19"/>
  <c r="AF36" i="22"/>
  <c r="AF36" i="6"/>
  <c r="Y42" i="19"/>
  <c r="AC36" i="22"/>
  <c r="AC36" i="6"/>
  <c r="G42" i="19"/>
  <c r="K36" i="22"/>
  <c r="K36" i="6"/>
  <c r="V42" i="19"/>
  <c r="Z36" i="22"/>
  <c r="Z36" i="6"/>
  <c r="X42" i="19"/>
  <c r="AB36" i="22"/>
  <c r="AB36" i="6"/>
  <c r="L42" i="19"/>
  <c r="P36" i="22"/>
  <c r="P36" i="6"/>
  <c r="AD42" i="19"/>
  <c r="AH36" i="22"/>
  <c r="AH36" i="6"/>
  <c r="S42" i="19"/>
  <c r="W36" i="22"/>
  <c r="W36" i="6"/>
  <c r="D42" i="19"/>
  <c r="H36" i="22"/>
  <c r="AE42" i="19"/>
  <c r="AI36" i="22"/>
  <c r="AI36" i="6"/>
  <c r="AA42" i="19"/>
  <c r="AE36" i="22"/>
  <c r="AE36" i="6"/>
  <c r="E42" i="19"/>
  <c r="I36" i="22"/>
  <c r="I36" i="6"/>
  <c r="P42" i="19"/>
  <c r="T36" i="22"/>
  <c r="T36" i="6"/>
  <c r="I42" i="19"/>
  <c r="M36" i="22"/>
  <c r="M36" i="6"/>
  <c r="Z42" i="19"/>
  <c r="AD36" i="22"/>
  <c r="AD36" i="6"/>
  <c r="AG42" i="19"/>
  <c r="AK36" i="22"/>
  <c r="AK36" i="6"/>
  <c r="U42" i="19"/>
  <c r="Y36" i="22"/>
  <c r="Y36" i="6"/>
  <c r="N42" i="19"/>
  <c r="R36" i="22"/>
  <c r="R36" i="6"/>
  <c r="T42" i="19"/>
  <c r="X36" i="22"/>
  <c r="X36" i="6"/>
  <c r="W42" i="19"/>
  <c r="AA36" i="22"/>
  <c r="AA36" i="6"/>
  <c r="O42" i="19"/>
  <c r="S36" i="22"/>
  <c r="S36" i="6"/>
  <c r="Q42" i="19"/>
  <c r="U36" i="22"/>
  <c r="U36" i="6"/>
  <c r="AF42" i="19"/>
  <c r="AJ36" i="22"/>
  <c r="AJ36" i="6"/>
  <c r="H36" i="6"/>
  <c r="AD35" i="19"/>
  <c r="AD28" i="19"/>
  <c r="J35" i="19"/>
  <c r="J28" i="19"/>
  <c r="AC28" i="19"/>
  <c r="AC35" i="19"/>
  <c r="E9" i="19"/>
  <c r="C36" i="19" s="1"/>
  <c r="J9" i="19"/>
  <c r="AL38" i="3"/>
  <c r="G38" i="3"/>
  <c r="K9" i="19"/>
  <c r="H34" i="6"/>
  <c r="I10" i="19" s="1"/>
  <c r="B4" i="8"/>
  <c r="B13" i="8" a="1"/>
  <c r="B24" i="8" s="1"/>
  <c r="O35" i="19" l="1"/>
  <c r="O28" i="19"/>
  <c r="S35" i="19"/>
  <c r="S28" i="19"/>
  <c r="G35" i="19"/>
  <c r="E50" i="19" s="1"/>
  <c r="G28" i="19"/>
  <c r="E47" i="19" s="1"/>
  <c r="AE35" i="19"/>
  <c r="AE28" i="19"/>
  <c r="L35" i="19"/>
  <c r="L28" i="19"/>
  <c r="Q28" i="19"/>
  <c r="Q35" i="19"/>
  <c r="M28" i="19"/>
  <c r="M35" i="19"/>
  <c r="X35" i="19"/>
  <c r="X28" i="19"/>
  <c r="K35" i="19"/>
  <c r="K28" i="19"/>
  <c r="AG28" i="19"/>
  <c r="AG35" i="19"/>
  <c r="R35" i="19"/>
  <c r="R28" i="19"/>
  <c r="D35" i="19"/>
  <c r="D37" i="19" s="1"/>
  <c r="D28" i="19"/>
  <c r="AF28" i="19"/>
  <c r="AF35" i="19"/>
  <c r="H28" i="19"/>
  <c r="H35" i="19"/>
  <c r="P28" i="19"/>
  <c r="P35" i="19"/>
  <c r="F35" i="19"/>
  <c r="F28" i="19"/>
  <c r="AB28" i="19"/>
  <c r="AB35" i="19"/>
  <c r="N35" i="19"/>
  <c r="N28" i="19"/>
  <c r="I28" i="19"/>
  <c r="I35" i="19"/>
  <c r="Z35" i="19"/>
  <c r="Z28" i="19"/>
  <c r="Y28" i="19"/>
  <c r="Y35" i="19"/>
  <c r="U28" i="19"/>
  <c r="U35" i="19"/>
  <c r="T28" i="19"/>
  <c r="T35" i="19"/>
  <c r="E28" i="19"/>
  <c r="E35" i="19"/>
  <c r="AA35" i="19"/>
  <c r="AA28" i="19"/>
  <c r="W35" i="19"/>
  <c r="W28" i="19"/>
  <c r="V35" i="19"/>
  <c r="V28" i="19"/>
  <c r="B13" i="7" a="1"/>
  <c r="B14" i="7" s="1"/>
  <c r="G39" i="3"/>
  <c r="H42" i="3" s="1"/>
  <c r="I9" i="19" s="1"/>
  <c r="L9" i="19"/>
  <c r="E10" i="19"/>
  <c r="C29" i="19" s="1"/>
  <c r="C7" i="16"/>
  <c r="B38" i="8"/>
  <c r="B42" i="8"/>
  <c r="B13" i="8"/>
  <c r="B28" i="8"/>
  <c r="B32" i="8"/>
  <c r="B36" i="8"/>
  <c r="B22" i="8"/>
  <c r="B16" i="8"/>
  <c r="B20" i="8"/>
  <c r="B34" i="8"/>
  <c r="B41" i="8"/>
  <c r="B14" i="8"/>
  <c r="B18" i="8"/>
  <c r="B40" i="8"/>
  <c r="B29" i="8"/>
  <c r="B35" i="8"/>
  <c r="B19" i="8"/>
  <c r="B27" i="8"/>
  <c r="B15" i="8"/>
  <c r="B25" i="8"/>
  <c r="B30" i="8"/>
  <c r="B39" i="8"/>
  <c r="B33" i="8"/>
  <c r="B37" i="8"/>
  <c r="B26" i="8"/>
  <c r="B31" i="8"/>
  <c r="B17" i="8"/>
  <c r="B21" i="8"/>
  <c r="B23" i="8"/>
  <c r="D38" i="19" l="1"/>
  <c r="E38" i="19"/>
  <c r="E37" i="19"/>
  <c r="F37" i="19" s="1"/>
  <c r="F38" i="19" s="1"/>
  <c r="D30" i="19"/>
  <c r="E30" i="19" s="1"/>
  <c r="F30" i="19" s="1"/>
  <c r="B3" i="8"/>
  <c r="B6" i="8" s="1"/>
  <c r="B7" i="8" s="1"/>
  <c r="B42" i="7"/>
  <c r="B34" i="7"/>
  <c r="B36" i="7"/>
  <c r="B27" i="7"/>
  <c r="B17" i="7"/>
  <c r="B31" i="7"/>
  <c r="B13" i="7"/>
  <c r="B21" i="7"/>
  <c r="B23" i="7"/>
  <c r="B33" i="7"/>
  <c r="B40" i="7"/>
  <c r="B32" i="7"/>
  <c r="B24" i="7"/>
  <c r="B18" i="7"/>
  <c r="B20" i="7"/>
  <c r="B37" i="7"/>
  <c r="B25" i="7"/>
  <c r="B30" i="7"/>
  <c r="B26" i="7"/>
  <c r="B19" i="7"/>
  <c r="B41" i="7"/>
  <c r="B28" i="7"/>
  <c r="B39" i="7"/>
  <c r="B35" i="7"/>
  <c r="B15" i="7"/>
  <c r="B22" i="7"/>
  <c r="B16" i="7"/>
  <c r="B29" i="7"/>
  <c r="B38" i="7"/>
  <c r="D31" i="19" l="1"/>
  <c r="E31" i="19"/>
  <c r="G37" i="19"/>
  <c r="B3" i="7"/>
  <c r="B6" i="7" s="1"/>
  <c r="G9" i="19" s="1"/>
  <c r="G30" i="19"/>
  <c r="F47" i="19" s="1"/>
  <c r="G47" i="19" s="1"/>
  <c r="F31" i="19"/>
  <c r="B7" i="16"/>
  <c r="D10" i="19"/>
  <c r="G38" i="19" l="1"/>
  <c r="F50" i="19"/>
  <c r="G50" i="19" s="1"/>
  <c r="H37" i="19"/>
  <c r="I37" i="19" s="1"/>
  <c r="J37" i="19" s="1"/>
  <c r="B7" i="7"/>
  <c r="F7" i="15" s="1"/>
  <c r="D9" i="19"/>
  <c r="H10" i="19"/>
  <c r="I15" i="19" s="1"/>
  <c r="B7" i="15"/>
  <c r="E7" i="16"/>
  <c r="G10" i="19"/>
  <c r="H30" i="19"/>
  <c r="G31" i="19"/>
  <c r="I38" i="19" l="1"/>
  <c r="H38" i="19"/>
  <c r="H9" i="19"/>
  <c r="E7" i="15"/>
  <c r="K37" i="19"/>
  <c r="J38" i="19"/>
  <c r="F7" i="16"/>
  <c r="I30" i="19"/>
  <c r="H31" i="19"/>
  <c r="I14" i="19" l="1"/>
  <c r="I16" i="19"/>
  <c r="H15" i="19"/>
  <c r="H16" i="19"/>
  <c r="H14" i="19"/>
  <c r="H13" i="19"/>
  <c r="L37" i="19"/>
  <c r="K38" i="19"/>
  <c r="J30" i="19"/>
  <c r="I31" i="19"/>
  <c r="J16" i="19" l="1"/>
  <c r="K15" i="19" s="1"/>
  <c r="J14" i="19"/>
  <c r="K13" i="19" s="1"/>
  <c r="L38" i="19"/>
  <c r="M37" i="19"/>
  <c r="K30" i="19"/>
  <c r="J31" i="19"/>
  <c r="M38" i="19" l="1"/>
  <c r="N37" i="19"/>
  <c r="L30" i="19"/>
  <c r="K31" i="19"/>
  <c r="O37" i="19" l="1"/>
  <c r="N38" i="19"/>
  <c r="M30" i="19"/>
  <c r="L31" i="19"/>
  <c r="P37" i="19" l="1"/>
  <c r="O38" i="19"/>
  <c r="N30" i="19"/>
  <c r="M31" i="19"/>
  <c r="P38" i="19" l="1"/>
  <c r="Q37" i="19"/>
  <c r="O30" i="19"/>
  <c r="N31" i="19"/>
  <c r="Q38" i="19" l="1"/>
  <c r="R37" i="19"/>
  <c r="P30" i="19"/>
  <c r="O31" i="19"/>
  <c r="S37" i="19" l="1"/>
  <c r="R38" i="19"/>
  <c r="Q30" i="19"/>
  <c r="P31" i="19"/>
  <c r="T37" i="19" l="1"/>
  <c r="S38" i="19"/>
  <c r="R30" i="19"/>
  <c r="Q31" i="19"/>
  <c r="T38" i="19" l="1"/>
  <c r="U37" i="19"/>
  <c r="S30" i="19"/>
  <c r="R31" i="19"/>
  <c r="U38" i="19" l="1"/>
  <c r="V37" i="19"/>
  <c r="T30" i="19"/>
  <c r="S31" i="19"/>
  <c r="V38" i="19" l="1"/>
  <c r="W37" i="19"/>
  <c r="U30" i="19"/>
  <c r="T31" i="19"/>
  <c r="W38" i="19" l="1"/>
  <c r="X37" i="19"/>
  <c r="V30" i="19"/>
  <c r="U31" i="19"/>
  <c r="Y37" i="19" l="1"/>
  <c r="X38" i="19"/>
  <c r="W30" i="19"/>
  <c r="V31" i="19"/>
  <c r="Y38" i="19" l="1"/>
  <c r="Z37" i="19"/>
  <c r="X30" i="19"/>
  <c r="W31" i="19"/>
  <c r="AA37" i="19" l="1"/>
  <c r="Z38" i="19"/>
  <c r="Y30" i="19"/>
  <c r="X31" i="19"/>
  <c r="AA38" i="19" l="1"/>
  <c r="AB37" i="19"/>
  <c r="Z30" i="19"/>
  <c r="Y31" i="19"/>
  <c r="AB38" i="19" l="1"/>
  <c r="AC37" i="19"/>
  <c r="AA30" i="19"/>
  <c r="Z31" i="19"/>
  <c r="AC38" i="19" l="1"/>
  <c r="AD37" i="19"/>
  <c r="AB30" i="19"/>
  <c r="AA31" i="19"/>
  <c r="AD38" i="19" l="1"/>
  <c r="AE37" i="19"/>
  <c r="AC30" i="19"/>
  <c r="AB31" i="19"/>
  <c r="AF37" i="19" l="1"/>
  <c r="AE38" i="19"/>
  <c r="AD30" i="19"/>
  <c r="AC31" i="19"/>
  <c r="AF38" i="19" l="1"/>
  <c r="AG37" i="19"/>
  <c r="AG38" i="19" s="1"/>
  <c r="AE30" i="19"/>
  <c r="AD31" i="19"/>
  <c r="C38" i="19" l="1"/>
  <c r="AF30" i="19"/>
  <c r="AE31" i="19"/>
  <c r="AG30" i="19" l="1"/>
  <c r="AG31" i="19" s="1"/>
  <c r="AF31" i="19"/>
  <c r="C31" i="19" l="1"/>
</calcChain>
</file>

<file path=xl/sharedStrings.xml><?xml version="1.0" encoding="utf-8"?>
<sst xmlns="http://schemas.openxmlformats.org/spreadsheetml/2006/main" count="290" uniqueCount="140">
  <si>
    <t>ANALISIS DE COSTOS INICIALES</t>
  </si>
  <si>
    <t>DESCRIPCIÓN</t>
  </si>
  <si>
    <t>POTENCIA W</t>
  </si>
  <si>
    <t>CANTIDAD</t>
  </si>
  <si>
    <t>COSTO C/U</t>
  </si>
  <si>
    <t>BOMBILLO</t>
  </si>
  <si>
    <t>COSTO TOTAL BOMBILLOS</t>
  </si>
  <si>
    <t>TOTAL</t>
  </si>
  <si>
    <t>LUMINARIAS</t>
  </si>
  <si>
    <t>70 techo</t>
  </si>
  <si>
    <t>Proyector de 400</t>
  </si>
  <si>
    <t>COSTO TOTAL LUMINARIAS</t>
  </si>
  <si>
    <t>FOTOCELDAS</t>
  </si>
  <si>
    <t>TOTAL COSTO INICIAL</t>
  </si>
  <si>
    <t>VIDA UTIL AÑOS</t>
  </si>
  <si>
    <t xml:space="preserve">COSTO TOTAL </t>
  </si>
  <si>
    <t>PERIODO AÑOS</t>
  </si>
  <si>
    <t>Cant Mtto Anual</t>
  </si>
  <si>
    <t>Descripción</t>
  </si>
  <si>
    <t>Cant</t>
  </si>
  <si>
    <t>Costo unitario</t>
  </si>
  <si>
    <t>IPP Proyectado</t>
  </si>
  <si>
    <t>Subt Anualizado 30 Años</t>
  </si>
  <si>
    <t>Subtotal cambio bombillería</t>
  </si>
  <si>
    <t>Subtotal limpieza</t>
  </si>
  <si>
    <t>Limpieza conjunto óptico de la Luminarias</t>
  </si>
  <si>
    <t>NOCHE (12h)</t>
  </si>
  <si>
    <t>Sub total Costo Consumo anual de Energia</t>
  </si>
  <si>
    <t>Cambio de Equipos electricos luminarias</t>
  </si>
  <si>
    <t>Cambio de
Bombillas</t>
  </si>
  <si>
    <t>LUMINARIA LED</t>
  </si>
  <si>
    <t>PROYECTO</t>
  </si>
  <si>
    <t xml:space="preserve">ALTERNATIVA # 2 SODIO </t>
  </si>
  <si>
    <t>ALTERNATIVA #1 LED</t>
  </si>
  <si>
    <t>ALTERNATIVA SODIO</t>
  </si>
  <si>
    <t xml:space="preserve">ALTERNATIVA LED </t>
  </si>
  <si>
    <t>Costo consumo anual de energía   en kW</t>
  </si>
  <si>
    <t xml:space="preserve">Cuadro 2. Valoración de Alternativas </t>
  </si>
  <si>
    <t>INDICADOR</t>
  </si>
  <si>
    <t>LED</t>
  </si>
  <si>
    <t>VP (CAO)</t>
  </si>
  <si>
    <t>CI</t>
  </si>
  <si>
    <t>VS</t>
  </si>
  <si>
    <t>Pt</t>
  </si>
  <si>
    <t>Cuadro 1.  Costos Anuales de operación</t>
  </si>
  <si>
    <t>AÑO</t>
  </si>
  <si>
    <t xml:space="preserve">CAO </t>
  </si>
  <si>
    <t>Total Operación y Mantenimiento iluminación en LED</t>
  </si>
  <si>
    <t>SODIO</t>
  </si>
  <si>
    <t>CAUE</t>
  </si>
  <si>
    <t>Subtotal cambio equipos electricos</t>
  </si>
  <si>
    <t>COSTO ANUAL UNIFORME EQUIVALENTE (CAUE)</t>
  </si>
  <si>
    <t>ALTERNATIVAS</t>
  </si>
  <si>
    <t xml:space="preserve">VP(CAO) = VALOR PRESENTE DE LOS COSTOS ANUALES DE OPERACIÓN </t>
  </si>
  <si>
    <t>CI = COSTO INICIAL</t>
  </si>
  <si>
    <t>VS = VALOR DE SALVAMENTO</t>
  </si>
  <si>
    <t xml:space="preserve">Pt = VALOR PRESENTE TOTAL DEL PROYECTO </t>
  </si>
  <si>
    <t>ANALISIS DE COSTOS LED</t>
  </si>
  <si>
    <t>ANALISIS DE COSTOS SODIO</t>
  </si>
  <si>
    <t>CAUE = COSTO ANUAL UNIFORME EQUIVALENTE (CAUE)</t>
  </si>
  <si>
    <t>Cambio de Luminaria (Carcasa)</t>
  </si>
  <si>
    <t>ENERGIA 10 AÑOS</t>
  </si>
  <si>
    <t>ENERGIA 20 AÑOS</t>
  </si>
  <si>
    <t>ENERGIA 30 AÑOS</t>
  </si>
  <si>
    <t>Subtotal cambio modulo Led</t>
  </si>
  <si>
    <t>CAOM</t>
  </si>
  <si>
    <t>CARACTERISTICAS (Escribir la potencia ofrecida según el diseño) TECNOLOGIA LED</t>
  </si>
  <si>
    <t>CARACTERISTICAS (Escribir la potencia ofrecida según el diseño) TECNOLOGIA SODIO</t>
  </si>
  <si>
    <t>Subtotal Costos Anuales Operación y Mantenimiento (valor futuro)</t>
  </si>
  <si>
    <t>Total Operación y Mantenimiento luminarias Na (valor futuro)</t>
  </si>
  <si>
    <t>LUMINARIA Na</t>
  </si>
  <si>
    <t>BOMBILLAS DE Na</t>
  </si>
  <si>
    <t>AÑO DE RECUPERACION</t>
  </si>
  <si>
    <t xml:space="preserve">AÑO  </t>
  </si>
  <si>
    <t>DIFERENCIA CI 
(SAP - LED)</t>
  </si>
  <si>
    <t>CELSA</t>
  </si>
  <si>
    <t>ILUMINACION Av 3era Norte-Sameco, Cali</t>
  </si>
  <si>
    <t>DELTA LED 125 W</t>
  </si>
  <si>
    <t>DELTA LED 171 W</t>
  </si>
  <si>
    <t>DELTA LED 197 W</t>
  </si>
  <si>
    <t>COSMO LED 120W</t>
  </si>
  <si>
    <t>COSMO LED 200W</t>
  </si>
  <si>
    <t>COSMO LED 246W</t>
  </si>
  <si>
    <t>VENUS 150W</t>
  </si>
  <si>
    <t>PROYECTOR A-1500 250W</t>
  </si>
  <si>
    <t>PROYECTOR A-1500 400W</t>
  </si>
  <si>
    <t>VENUS 250W</t>
  </si>
  <si>
    <t>ALTERNATIVA # 3 CMH</t>
  </si>
  <si>
    <t xml:space="preserve">Bombilla Na 150-SON T </t>
  </si>
  <si>
    <t xml:space="preserve">Bombilla Na 250-SON T </t>
  </si>
  <si>
    <t>Bombilla CMH 250-CDO TT</t>
  </si>
  <si>
    <t xml:space="preserve">Bombilla CMH 400-CDO TT </t>
  </si>
  <si>
    <t>BOMBILLAS DE CMH</t>
  </si>
  <si>
    <t xml:space="preserve">150 W </t>
  </si>
  <si>
    <t>250 W</t>
  </si>
  <si>
    <t xml:space="preserve">250W-CMH </t>
  </si>
  <si>
    <t>400W-CMH</t>
  </si>
  <si>
    <t>ALTERNATIVA CMH</t>
  </si>
  <si>
    <t>Bombilla CMH 250-STREET WISE</t>
  </si>
  <si>
    <t>Bombilla CMH 150-STREET WISE</t>
  </si>
  <si>
    <t xml:space="preserve">150 W-SW </t>
  </si>
  <si>
    <t>Cambio de Driver LED</t>
  </si>
  <si>
    <t>Cambio de modulo LED</t>
  </si>
  <si>
    <t>PÉRDIDAS  150W</t>
  </si>
  <si>
    <t>PÉRDIDAS  250W</t>
  </si>
  <si>
    <t>PÉRDIDAS 400W</t>
  </si>
  <si>
    <t>PÉRDIDAS DELTA 125W</t>
  </si>
  <si>
    <t>PÉRDIDAS DELTA 171W</t>
  </si>
  <si>
    <t>PÉRDIDAS DELTA 197W</t>
  </si>
  <si>
    <t>PÉRDIDAS COSMO 120W</t>
  </si>
  <si>
    <t>PÉRDIDAS COSMO 200W</t>
  </si>
  <si>
    <t>PÉRDIDAS COSMO 246W</t>
  </si>
  <si>
    <t>Total Operación y Mantenimiento luminarias CMH (valor futuro)</t>
  </si>
  <si>
    <t>CMH</t>
  </si>
  <si>
    <t>ANALISIS DE COSTOS CMH</t>
  </si>
  <si>
    <t>AV 3era NORTE-SAMECO,CALI</t>
  </si>
  <si>
    <t>DIFERENCIA CI 
(CMH - LED)</t>
  </si>
  <si>
    <t>TASA DE DESCUENTO (VPN; CAUE)</t>
  </si>
  <si>
    <t>HORIZONTE DE EVALUACIÓN (años)</t>
  </si>
  <si>
    <t>PRECIO KW/H ($)</t>
  </si>
  <si>
    <t>Diferencia CAUE entre LED y SAP</t>
  </si>
  <si>
    <t>Diferencia CAUE entre LED y CMH</t>
  </si>
  <si>
    <t xml:space="preserve">COSTOS ANUALES (30 AÑOS) DE OPERACIÓN Y MANTENIMIENTO - ILUMINACIÓN </t>
  </si>
  <si>
    <t xml:space="preserve"> </t>
  </si>
  <si>
    <t>LUMINARIA CMH</t>
  </si>
  <si>
    <t>SAP</t>
  </si>
  <si>
    <t>DIF CAOM
 (SAP - LED)</t>
  </si>
  <si>
    <t>DIF CAOM
 (CMH - LED)</t>
  </si>
  <si>
    <t xml:space="preserve"> COSTOS INICIALES - DIF RECUPERACIÓN</t>
  </si>
  <si>
    <t>Ahorro al utilizar LED en vez de SAP</t>
  </si>
  <si>
    <t>Ahorro al utilizar LED en vez de CMH</t>
  </si>
  <si>
    <t>CAOM LED</t>
  </si>
  <si>
    <t>CAOM CMH</t>
  </si>
  <si>
    <t>CAOM SAP</t>
  </si>
  <si>
    <t>UBICACIÓN DEL PROYECTO</t>
  </si>
  <si>
    <t xml:space="preserve">TECNOLOGÍA </t>
  </si>
  <si>
    <t>ANÁLISIS ECONÓMICO</t>
  </si>
  <si>
    <t>Diferencia CI</t>
  </si>
  <si>
    <t>CMH VS LED</t>
  </si>
  <si>
    <t>SAP vs LED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</si>
</sst>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(* #,##0_);_(* \(#,##0\);_(* &quot;-&quot;_);_(@_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&quot;$&quot;\ #,##0"/>
    <numFmt numFmtId="166" formatCode="_-* #,##0\ _€_-;\-* #,##0\ _€_-;_-* &quot;-&quot;??\ _€_-;_-@_-"/>
    <numFmt numFmtId="167" formatCode="#,##0.0"/>
    <numFmt numFmtId="168" formatCode="0.0%"/>
    <numFmt numFmtId="169" formatCode="&quot;$&quot;\ #,##0.00"/>
    <numFmt numFmtId="170" formatCode="[$$-240A]#,##0.00"/>
    <numFmt numFmtId="171" formatCode="[$$-240A]\ #,##0.00"/>
    <numFmt numFmtId="172" formatCode="_-[$$-240A]* #,##0_-;\-[$$-240A]* #,##0_-;_-[$$-240A]* &quot;-&quot;??_-;_-@_-"/>
  </numFmts>
  <fonts count="4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b/>
      <sz val="10"/>
      <color indexed="8"/>
      <name val="Tahoma"/>
      <family val="2"/>
    </font>
    <font>
      <b/>
      <sz val="11"/>
      <color indexed="8"/>
      <name val="Calibri"/>
      <family val="2"/>
    </font>
    <font>
      <b/>
      <i/>
      <sz val="8"/>
      <color indexed="8"/>
      <name val="Arial Narrow"/>
      <family val="2"/>
    </font>
    <font>
      <b/>
      <sz val="8"/>
      <color indexed="8"/>
      <name val="Arial Narrow"/>
      <family val="2"/>
    </font>
    <font>
      <sz val="11"/>
      <color indexed="8"/>
      <name val="Calibri"/>
      <family val="2"/>
    </font>
    <font>
      <b/>
      <sz val="8"/>
      <color indexed="8"/>
      <name val="Calibri"/>
      <family val="2"/>
    </font>
    <font>
      <b/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Calibri"/>
      <family val="2"/>
    </font>
    <font>
      <sz val="8"/>
      <color indexed="8"/>
      <name val="Arial"/>
      <family val="2"/>
    </font>
    <font>
      <b/>
      <i/>
      <sz val="12"/>
      <color indexed="8"/>
      <name val="Arial Narrow"/>
      <family val="2"/>
    </font>
    <font>
      <b/>
      <i/>
      <sz val="11"/>
      <color indexed="8"/>
      <name val="Calibri"/>
      <family val="2"/>
    </font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10"/>
      <name val="Arial"/>
      <family val="2"/>
    </font>
    <font>
      <b/>
      <sz val="10"/>
      <color theme="3"/>
      <name val="Tahoma"/>
      <family val="2"/>
    </font>
    <font>
      <b/>
      <sz val="6"/>
      <color theme="1"/>
      <name val="Tahoma"/>
      <family val="2"/>
    </font>
    <font>
      <sz val="6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sz val="10"/>
      <name val="Arial"/>
    </font>
  </fonts>
  <fills count="1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rgb="FFD9B3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CCFF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2CDDC"/>
      </left>
      <right style="thin">
        <color rgb="FF92CDDC"/>
      </right>
      <top style="thin">
        <color rgb="FF92CDDC"/>
      </top>
      <bottom/>
      <diagonal/>
    </border>
    <border>
      <left style="thin">
        <color rgb="FF92CDDC"/>
      </left>
      <right/>
      <top style="thin">
        <color rgb="FF92CDDC"/>
      </top>
      <bottom style="thin">
        <color rgb="FF92CDDC"/>
      </bottom>
      <diagonal/>
    </border>
    <border>
      <left/>
      <right/>
      <top style="thin">
        <color rgb="FF92CDDC"/>
      </top>
      <bottom style="thin">
        <color rgb="FF92CDDC"/>
      </bottom>
      <diagonal/>
    </border>
    <border>
      <left/>
      <right style="thin">
        <color rgb="FF92CDDC"/>
      </right>
      <top style="thin">
        <color rgb="FF92CDDC"/>
      </top>
      <bottom style="thin">
        <color rgb="FF92CDDC"/>
      </bottom>
      <diagonal/>
    </border>
    <border>
      <left style="thin">
        <color rgb="FF92CDDC"/>
      </left>
      <right style="thin">
        <color rgb="FF92CDDC"/>
      </right>
      <top/>
      <bottom/>
      <diagonal/>
    </border>
    <border>
      <left style="thin">
        <color rgb="FF92CDDC"/>
      </left>
      <right style="thin">
        <color rgb="FF92CDDC"/>
      </right>
      <top style="thin">
        <color rgb="FF92CDDC"/>
      </top>
      <bottom style="thin">
        <color rgb="FF92CDDC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/>
      <diagonal/>
    </border>
    <border>
      <left style="thin">
        <color rgb="FF7F7F7F"/>
      </left>
      <right style="thin">
        <color indexed="64"/>
      </right>
      <top/>
      <bottom style="thin">
        <color rgb="FF7F7F7F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indexed="64"/>
      </right>
      <top/>
      <bottom/>
      <diagonal/>
    </border>
  </borders>
  <cellStyleXfs count="14">
    <xf numFmtId="0" fontId="0" fillId="0" borderId="0"/>
    <xf numFmtId="164" fontId="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25" fillId="0" borderId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0" borderId="0"/>
    <xf numFmtId="0" fontId="3" fillId="0" borderId="0"/>
    <xf numFmtId="0" fontId="37" fillId="11" borderId="31" applyNumberFormat="0" applyAlignment="0" applyProtection="0"/>
    <xf numFmtId="0" fontId="38" fillId="12" borderId="31" applyNumberFormat="0" applyAlignment="0" applyProtection="0"/>
    <xf numFmtId="0" fontId="39" fillId="13" borderId="0" applyNumberFormat="0" applyBorder="0" applyAlignment="0" applyProtection="0"/>
    <xf numFmtId="9" fontId="41" fillId="0" borderId="0" applyFont="0" applyFill="0" applyBorder="0" applyAlignment="0" applyProtection="0"/>
    <xf numFmtId="44" fontId="42" fillId="0" borderId="0" applyFont="0" applyFill="0" applyBorder="0" applyAlignment="0" applyProtection="0"/>
    <xf numFmtId="43" fontId="42" fillId="0" borderId="0" applyFont="0" applyFill="0" applyBorder="0" applyAlignment="0" applyProtection="0"/>
  </cellStyleXfs>
  <cellXfs count="254">
    <xf numFmtId="0" fontId="0" fillId="0" borderId="0" xfId="0"/>
    <xf numFmtId="165" fontId="10" fillId="0" borderId="1" xfId="0" applyNumberFormat="1" applyFont="1" applyBorder="1" applyProtection="1"/>
    <xf numFmtId="0" fontId="6" fillId="0" borderId="2" xfId="0" applyFont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/>
      <protection locked="0"/>
    </xf>
    <xf numFmtId="165" fontId="6" fillId="0" borderId="4" xfId="0" applyNumberFormat="1" applyFont="1" applyFill="1" applyBorder="1" applyAlignment="1" applyProtection="1">
      <alignment horizontal="right" vertical="center"/>
      <protection locked="0"/>
    </xf>
    <xf numFmtId="0" fontId="6" fillId="0" borderId="5" xfId="0" applyFont="1" applyFill="1" applyBorder="1" applyAlignment="1" applyProtection="1">
      <alignment horizontal="center"/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right" vertical="center"/>
      <protection locked="0"/>
    </xf>
    <xf numFmtId="0" fontId="25" fillId="0" borderId="0" xfId="3"/>
    <xf numFmtId="0" fontId="16" fillId="3" borderId="4" xfId="3" applyFont="1" applyFill="1" applyBorder="1" applyAlignment="1">
      <alignment horizontal="center" vertical="center"/>
    </xf>
    <xf numFmtId="166" fontId="13" fillId="4" borderId="4" xfId="1" applyNumberFormat="1" applyFont="1" applyFill="1" applyBorder="1" applyAlignment="1">
      <alignment horizontal="center" vertical="center" wrapText="1"/>
    </xf>
    <xf numFmtId="0" fontId="17" fillId="4" borderId="4" xfId="3" applyFont="1" applyFill="1" applyBorder="1" applyAlignment="1">
      <alignment horizontal="center" vertical="center" wrapText="1"/>
    </xf>
    <xf numFmtId="3" fontId="17" fillId="5" borderId="4" xfId="3" applyNumberFormat="1" applyFont="1" applyFill="1" applyBorder="1" applyAlignment="1">
      <alignment horizontal="center" vertical="center" wrapText="1"/>
    </xf>
    <xf numFmtId="0" fontId="19" fillId="0" borderId="4" xfId="3" applyFont="1" applyBorder="1" applyAlignment="1">
      <alignment horizontal="center"/>
    </xf>
    <xf numFmtId="3" fontId="17" fillId="5" borderId="4" xfId="2" applyNumberFormat="1" applyFont="1" applyFill="1" applyBorder="1" applyAlignment="1">
      <alignment horizontal="center" vertical="center" wrapText="1"/>
    </xf>
    <xf numFmtId="0" fontId="17" fillId="4" borderId="4" xfId="3" applyFont="1" applyFill="1" applyBorder="1" applyAlignment="1">
      <alignment vertical="center"/>
    </xf>
    <xf numFmtId="0" fontId="17" fillId="4" borderId="4" xfId="3" applyFont="1" applyFill="1" applyBorder="1" applyAlignment="1">
      <alignment vertical="center" wrapText="1"/>
    </xf>
    <xf numFmtId="166" fontId="17" fillId="4" borderId="4" xfId="2" applyNumberFormat="1" applyFont="1" applyFill="1" applyBorder="1" applyAlignment="1">
      <alignment vertical="center" wrapText="1"/>
    </xf>
    <xf numFmtId="166" fontId="18" fillId="4" borderId="4" xfId="1" applyNumberFormat="1" applyFont="1" applyFill="1" applyBorder="1" applyAlignment="1">
      <alignment vertical="center" wrapText="1"/>
    </xf>
    <xf numFmtId="0" fontId="20" fillId="0" borderId="0" xfId="3" applyFont="1"/>
    <xf numFmtId="0" fontId="16" fillId="0" borderId="0" xfId="3" applyFont="1"/>
    <xf numFmtId="0" fontId="19" fillId="0" borderId="0" xfId="3" applyFont="1"/>
    <xf numFmtId="0" fontId="17" fillId="4" borderId="4" xfId="3" applyFont="1" applyFill="1" applyBorder="1" applyAlignment="1">
      <alignment horizontal="left" vertical="center"/>
    </xf>
    <xf numFmtId="0" fontId="17" fillId="4" borderId="4" xfId="3" applyFont="1" applyFill="1" applyBorder="1" applyAlignment="1">
      <alignment horizontal="left" vertical="center" wrapText="1"/>
    </xf>
    <xf numFmtId="166" fontId="17" fillId="0" borderId="4" xfId="2" applyNumberFormat="1" applyFont="1" applyFill="1" applyBorder="1" applyAlignment="1">
      <alignment vertical="center" wrapText="1"/>
    </xf>
    <xf numFmtId="0" fontId="14" fillId="4" borderId="6" xfId="3" applyFont="1" applyFill="1" applyBorder="1" applyAlignment="1">
      <alignment horizontal="center" vertical="center" wrapText="1"/>
    </xf>
    <xf numFmtId="166" fontId="14" fillId="4" borderId="6" xfId="2" applyNumberFormat="1" applyFont="1" applyFill="1" applyBorder="1" applyAlignment="1">
      <alignment horizontal="center" vertical="center" wrapText="1"/>
    </xf>
    <xf numFmtId="166" fontId="21" fillId="4" borderId="4" xfId="2" applyNumberFormat="1" applyFont="1" applyFill="1" applyBorder="1" applyAlignment="1">
      <alignment horizontal="center" vertical="center" wrapText="1"/>
    </xf>
    <xf numFmtId="0" fontId="22" fillId="0" borderId="0" xfId="3" applyFont="1"/>
    <xf numFmtId="0" fontId="0" fillId="0" borderId="0" xfId="0" applyAlignment="1">
      <alignment horizontal="center"/>
    </xf>
    <xf numFmtId="165" fontId="6" fillId="0" borderId="4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165" fontId="6" fillId="0" borderId="4" xfId="0" applyNumberFormat="1" applyFont="1" applyFill="1" applyBorder="1" applyAlignment="1" applyProtection="1">
      <alignment horizontal="center"/>
      <protection locked="0"/>
    </xf>
    <xf numFmtId="0" fontId="6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24" fillId="0" borderId="0" xfId="3" applyFont="1"/>
    <xf numFmtId="0" fontId="23" fillId="0" borderId="0" xfId="3" applyFont="1"/>
    <xf numFmtId="0" fontId="17" fillId="6" borderId="4" xfId="3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center"/>
    </xf>
    <xf numFmtId="166" fontId="0" fillId="0" borderId="4" xfId="1" applyNumberFormat="1" applyFont="1" applyBorder="1" applyAlignment="1">
      <alignment horizontal="center"/>
    </xf>
    <xf numFmtId="166" fontId="0" fillId="0" borderId="4" xfId="1" applyNumberFormat="1" applyFont="1" applyBorder="1"/>
    <xf numFmtId="0" fontId="26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3" fontId="0" fillId="0" borderId="4" xfId="1" applyNumberFormat="1" applyFont="1" applyFill="1" applyBorder="1"/>
    <xf numFmtId="0" fontId="25" fillId="0" borderId="0" xfId="3" applyAlignment="1">
      <alignment vertical="center"/>
    </xf>
    <xf numFmtId="166" fontId="17" fillId="5" borderId="4" xfId="2" applyNumberFormat="1" applyFont="1" applyFill="1" applyBorder="1" applyAlignment="1">
      <alignment vertical="center" wrapText="1"/>
    </xf>
    <xf numFmtId="0" fontId="20" fillId="0" borderId="0" xfId="3" applyFont="1" applyAlignment="1">
      <alignment vertical="center"/>
    </xf>
    <xf numFmtId="4" fontId="17" fillId="5" borderId="4" xfId="2" applyNumberFormat="1" applyFont="1" applyFill="1" applyBorder="1" applyAlignment="1">
      <alignment horizontal="center" vertical="center" wrapText="1"/>
    </xf>
    <xf numFmtId="0" fontId="12" fillId="0" borderId="11" xfId="3" applyFont="1" applyBorder="1" applyAlignment="1"/>
    <xf numFmtId="0" fontId="12" fillId="0" borderId="12" xfId="3" applyFont="1" applyBorder="1" applyAlignment="1"/>
    <xf numFmtId="165" fontId="10" fillId="0" borderId="0" xfId="0" applyNumberFormat="1" applyFont="1" applyBorder="1" applyProtection="1"/>
    <xf numFmtId="0" fontId="0" fillId="7" borderId="0" xfId="0" applyFill="1"/>
    <xf numFmtId="0" fontId="5" fillId="7" borderId="0" xfId="0" applyFont="1" applyFill="1" applyBorder="1" applyAlignment="1" applyProtection="1">
      <alignment horizontal="center" vertical="center"/>
    </xf>
    <xf numFmtId="0" fontId="5" fillId="7" borderId="0" xfId="0" applyFont="1" applyFill="1" applyBorder="1" applyAlignment="1" applyProtection="1">
      <alignment horizontal="center" vertical="center"/>
      <protection locked="0"/>
    </xf>
    <xf numFmtId="165" fontId="5" fillId="7" borderId="0" xfId="0" applyNumberFormat="1" applyFont="1" applyFill="1" applyBorder="1" applyAlignment="1" applyProtection="1">
      <alignment horizontal="right" vertical="center"/>
      <protection locked="0"/>
    </xf>
    <xf numFmtId="166" fontId="25" fillId="0" borderId="0" xfId="3" applyNumberFormat="1"/>
    <xf numFmtId="0" fontId="28" fillId="0" borderId="0" xfId="0" applyFont="1" applyAlignment="1">
      <alignment horizontal="center"/>
    </xf>
    <xf numFmtId="0" fontId="28" fillId="0" borderId="0" xfId="0" applyFont="1"/>
    <xf numFmtId="0" fontId="31" fillId="9" borderId="29" xfId="6" applyFont="1" applyFill="1" applyBorder="1" applyAlignment="1">
      <alignment horizontal="center" vertical="center"/>
    </xf>
    <xf numFmtId="3" fontId="28" fillId="10" borderId="27" xfId="0" applyNumberFormat="1" applyFont="1" applyFill="1" applyBorder="1" applyAlignment="1">
      <alignment horizontal="left" vertical="center" wrapText="1"/>
    </xf>
    <xf numFmtId="3" fontId="28" fillId="10" borderId="27" xfId="0" applyNumberFormat="1" applyFont="1" applyFill="1" applyBorder="1" applyAlignment="1">
      <alignment horizontal="center" vertical="center"/>
    </xf>
    <xf numFmtId="3" fontId="28" fillId="10" borderId="29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32" fillId="0" borderId="0" xfId="0" applyNumberFormat="1" applyFont="1" applyFill="1" applyBorder="1" applyAlignment="1">
      <alignment horizontal="left"/>
    </xf>
    <xf numFmtId="0" fontId="33" fillId="0" borderId="0" xfId="0" applyFont="1"/>
    <xf numFmtId="0" fontId="27" fillId="0" borderId="4" xfId="0" applyFont="1" applyBorder="1"/>
    <xf numFmtId="0" fontId="27" fillId="0" borderId="0" xfId="0" applyFont="1"/>
    <xf numFmtId="166" fontId="7" fillId="0" borderId="4" xfId="1" applyNumberFormat="1" applyFont="1" applyBorder="1" applyAlignment="1">
      <alignment horizontal="center"/>
    </xf>
    <xf numFmtId="0" fontId="34" fillId="0" borderId="0" xfId="0" applyFont="1"/>
    <xf numFmtId="0" fontId="35" fillId="0" borderId="0" xfId="0" applyFont="1" applyAlignment="1">
      <alignment horizontal="center"/>
    </xf>
    <xf numFmtId="0" fontId="35" fillId="0" borderId="0" xfId="0" applyFont="1"/>
    <xf numFmtId="41" fontId="27" fillId="0" borderId="4" xfId="1" applyNumberFormat="1" applyFont="1" applyBorder="1"/>
    <xf numFmtId="41" fontId="27" fillId="0" borderId="0" xfId="0" applyNumberFormat="1" applyFont="1"/>
    <xf numFmtId="166" fontId="0" fillId="0" borderId="0" xfId="0" applyNumberFormat="1"/>
    <xf numFmtId="0" fontId="35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35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9" fontId="17" fillId="5" borderId="4" xfId="4" applyNumberFormat="1" applyFont="1" applyFill="1" applyBorder="1" applyAlignment="1">
      <alignment horizontal="center" vertical="center" wrapText="1"/>
    </xf>
    <xf numFmtId="166" fontId="17" fillId="4" borderId="4" xfId="2" applyNumberFormat="1" applyFont="1" applyFill="1" applyBorder="1" applyAlignment="1">
      <alignment horizontal="center" vertical="center" wrapText="1"/>
    </xf>
    <xf numFmtId="166" fontId="17" fillId="0" borderId="4" xfId="2" applyNumberFormat="1" applyFont="1" applyFill="1" applyBorder="1" applyAlignment="1">
      <alignment horizontal="center" vertical="center" wrapText="1"/>
    </xf>
    <xf numFmtId="0" fontId="25" fillId="0" borderId="0" xfId="3" applyAlignment="1">
      <alignment horizontal="center" vertical="center"/>
    </xf>
    <xf numFmtId="0" fontId="20" fillId="0" borderId="0" xfId="3" applyFont="1" applyAlignment="1">
      <alignment horizontal="center" vertical="center"/>
    </xf>
    <xf numFmtId="0" fontId="12" fillId="0" borderId="11" xfId="3" applyFont="1" applyBorder="1" applyAlignment="1">
      <alignment horizontal="center" vertical="center"/>
    </xf>
    <xf numFmtId="168" fontId="17" fillId="5" borderId="4" xfId="4" applyNumberFormat="1" applyFont="1" applyFill="1" applyBorder="1" applyAlignment="1">
      <alignment horizontal="center" vertical="center" wrapText="1"/>
    </xf>
    <xf numFmtId="3" fontId="21" fillId="4" borderId="4" xfId="2" applyNumberFormat="1" applyFont="1" applyFill="1" applyBorder="1" applyAlignment="1">
      <alignment horizontal="center" vertical="center" wrapText="1"/>
    </xf>
    <xf numFmtId="167" fontId="25" fillId="0" borderId="0" xfId="3" applyNumberFormat="1"/>
    <xf numFmtId="3" fontId="0" fillId="0" borderId="4" xfId="1" applyNumberFormat="1" applyFont="1" applyBorder="1"/>
    <xf numFmtId="165" fontId="12" fillId="0" borderId="0" xfId="3" applyNumberFormat="1" applyFont="1" applyBorder="1" applyAlignment="1"/>
    <xf numFmtId="0" fontId="25" fillId="0" borderId="0" xfId="3" applyBorder="1"/>
    <xf numFmtId="165" fontId="17" fillId="5" borderId="4" xfId="3" applyNumberFormat="1" applyFont="1" applyFill="1" applyBorder="1" applyAlignment="1">
      <alignment horizontal="center" vertical="center" wrapText="1"/>
    </xf>
    <xf numFmtId="165" fontId="17" fillId="5" borderId="4" xfId="2" applyNumberFormat="1" applyFont="1" applyFill="1" applyBorder="1" applyAlignment="1">
      <alignment horizontal="center" vertical="center" wrapText="1"/>
    </xf>
    <xf numFmtId="169" fontId="14" fillId="4" borderId="6" xfId="1" applyNumberFormat="1" applyFont="1" applyFill="1" applyBorder="1" applyAlignment="1">
      <alignment horizontal="center" vertical="center" wrapText="1"/>
    </xf>
    <xf numFmtId="165" fontId="25" fillId="0" borderId="0" xfId="3" applyNumberFormat="1" applyAlignment="1">
      <alignment horizontal="center" vertical="center"/>
    </xf>
    <xf numFmtId="165" fontId="14" fillId="4" borderId="6" xfId="1" applyNumberFormat="1" applyFont="1" applyFill="1" applyBorder="1" applyAlignment="1">
      <alignment horizontal="center" vertical="center" wrapText="1"/>
    </xf>
    <xf numFmtId="165" fontId="18" fillId="5" borderId="4" xfId="1" applyNumberFormat="1" applyFont="1" applyFill="1" applyBorder="1" applyAlignment="1">
      <alignment horizontal="center" vertical="center" wrapText="1"/>
    </xf>
    <xf numFmtId="165" fontId="18" fillId="4" borderId="4" xfId="1" applyNumberFormat="1" applyFont="1" applyFill="1" applyBorder="1" applyAlignment="1">
      <alignment horizontal="center" vertical="center" wrapText="1"/>
    </xf>
    <xf numFmtId="165" fontId="20" fillId="0" borderId="0" xfId="3" applyNumberFormat="1" applyFont="1" applyAlignment="1">
      <alignment horizontal="center" vertical="center"/>
    </xf>
    <xf numFmtId="165" fontId="25" fillId="0" borderId="20" xfId="3" applyNumberFormat="1" applyBorder="1" applyAlignment="1">
      <alignment horizontal="center" vertical="center"/>
    </xf>
    <xf numFmtId="169" fontId="26" fillId="0" borderId="0" xfId="3" applyNumberFormat="1" applyFont="1" applyAlignment="1">
      <alignment horizontal="center" vertical="center"/>
    </xf>
    <xf numFmtId="169" fontId="17" fillId="5" borderId="4" xfId="1" applyNumberFormat="1" applyFont="1" applyFill="1" applyBorder="1" applyAlignment="1">
      <alignment horizontal="center" vertical="center" wrapText="1"/>
    </xf>
    <xf numFmtId="169" fontId="17" fillId="4" borderId="4" xfId="1" applyNumberFormat="1" applyFont="1" applyFill="1" applyBorder="1" applyAlignment="1">
      <alignment horizontal="center" vertical="center" wrapText="1"/>
    </xf>
    <xf numFmtId="169" fontId="17" fillId="0" borderId="0" xfId="3" applyNumberFormat="1" applyFont="1" applyAlignment="1">
      <alignment horizontal="center" vertical="center"/>
    </xf>
    <xf numFmtId="169" fontId="17" fillId="7" borderId="4" xfId="1" applyNumberFormat="1" applyFont="1" applyFill="1" applyBorder="1" applyAlignment="1">
      <alignment horizontal="center" vertical="center" wrapText="1"/>
    </xf>
    <xf numFmtId="9" fontId="17" fillId="4" borderId="4" xfId="2" applyNumberFormat="1" applyFont="1" applyFill="1" applyBorder="1" applyAlignment="1">
      <alignment vertical="center" wrapText="1"/>
    </xf>
    <xf numFmtId="9" fontId="20" fillId="0" borderId="0" xfId="3" applyNumberFormat="1" applyFont="1"/>
    <xf numFmtId="9" fontId="17" fillId="0" borderId="4" xfId="2" applyNumberFormat="1" applyFont="1" applyFill="1" applyBorder="1" applyAlignment="1">
      <alignment vertical="center" wrapText="1"/>
    </xf>
    <xf numFmtId="166" fontId="18" fillId="7" borderId="4" xfId="1" applyNumberFormat="1" applyFont="1" applyFill="1" applyBorder="1" applyAlignment="1">
      <alignment vertical="center" wrapText="1"/>
    </xf>
    <xf numFmtId="0" fontId="6" fillId="0" borderId="0" xfId="0" applyFont="1" applyFill="1" applyBorder="1" applyAlignment="1" applyProtection="1">
      <alignment horizontal="center"/>
      <protection locked="0"/>
    </xf>
    <xf numFmtId="0" fontId="17" fillId="4" borderId="0" xfId="3" applyFont="1" applyFill="1" applyBorder="1" applyAlignment="1">
      <alignment vertical="center"/>
    </xf>
    <xf numFmtId="0" fontId="17" fillId="4" borderId="0" xfId="3" applyFont="1" applyFill="1" applyBorder="1" applyAlignment="1">
      <alignment vertical="center" wrapText="1"/>
    </xf>
    <xf numFmtId="166" fontId="17" fillId="4" borderId="0" xfId="2" applyNumberFormat="1" applyFont="1" applyFill="1" applyBorder="1" applyAlignment="1">
      <alignment horizontal="center" vertical="center" wrapText="1"/>
    </xf>
    <xf numFmtId="166" fontId="17" fillId="4" borderId="0" xfId="2" applyNumberFormat="1" applyFont="1" applyFill="1" applyBorder="1" applyAlignment="1">
      <alignment vertical="center" wrapText="1"/>
    </xf>
    <xf numFmtId="165" fontId="18" fillId="4" borderId="0" xfId="1" applyNumberFormat="1" applyFont="1" applyFill="1" applyBorder="1" applyAlignment="1">
      <alignment horizontal="center" vertical="center" wrapText="1"/>
    </xf>
    <xf numFmtId="166" fontId="18" fillId="4" borderId="0" xfId="1" applyNumberFormat="1" applyFont="1" applyFill="1" applyBorder="1" applyAlignment="1">
      <alignment vertical="center" wrapText="1"/>
    </xf>
    <xf numFmtId="0" fontId="19" fillId="0" borderId="0" xfId="3" applyFont="1" applyBorder="1" applyAlignment="1">
      <alignment horizontal="center"/>
    </xf>
    <xf numFmtId="166" fontId="7" fillId="8" borderId="4" xfId="1" applyNumberFormat="1" applyFont="1" applyFill="1" applyBorder="1" applyAlignment="1">
      <alignment horizontal="center"/>
    </xf>
    <xf numFmtId="170" fontId="0" fillId="0" borderId="0" xfId="0" applyNumberFormat="1"/>
    <xf numFmtId="170" fontId="27" fillId="0" borderId="0" xfId="0" applyNumberFormat="1" applyFont="1"/>
    <xf numFmtId="0" fontId="27" fillId="0" borderId="4" xfId="0" applyFont="1" applyBorder="1" applyAlignment="1">
      <alignment horizontal="center"/>
    </xf>
    <xf numFmtId="0" fontId="27" fillId="0" borderId="22" xfId="0" applyFont="1" applyBorder="1" applyAlignment="1">
      <alignment horizontal="center"/>
    </xf>
    <xf numFmtId="0" fontId="27" fillId="0" borderId="4" xfId="0" applyFont="1" applyBorder="1" applyAlignment="1">
      <alignment horizontal="center" wrapText="1"/>
    </xf>
    <xf numFmtId="0" fontId="27" fillId="0" borderId="4" xfId="0" applyFont="1" applyFill="1" applyBorder="1" applyAlignment="1">
      <alignment horizontal="center"/>
    </xf>
    <xf numFmtId="3" fontId="0" fillId="0" borderId="0" xfId="0" applyNumberFormat="1"/>
    <xf numFmtId="170" fontId="38" fillId="12" borderId="31" xfId="9" applyNumberFormat="1"/>
    <xf numFmtId="170" fontId="39" fillId="13" borderId="0" xfId="10" applyNumberFormat="1"/>
    <xf numFmtId="0" fontId="17" fillId="6" borderId="4" xfId="3" applyFont="1" applyFill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/>
    </xf>
    <xf numFmtId="0" fontId="6" fillId="0" borderId="4" xfId="0" applyFont="1" applyFill="1" applyBorder="1" applyAlignment="1" applyProtection="1">
      <alignment horizontal="center"/>
      <protection locked="0"/>
    </xf>
    <xf numFmtId="0" fontId="5" fillId="14" borderId="4" xfId="0" applyFont="1" applyFill="1" applyBorder="1" applyAlignment="1" applyProtection="1">
      <alignment horizontal="center" vertical="center"/>
      <protection locked="0"/>
    </xf>
    <xf numFmtId="165" fontId="5" fillId="14" borderId="4" xfId="0" applyNumberFormat="1" applyFont="1" applyFill="1" applyBorder="1" applyAlignment="1" applyProtection="1">
      <alignment horizontal="right" vertical="center"/>
      <protection locked="0"/>
    </xf>
    <xf numFmtId="0" fontId="5" fillId="15" borderId="4" xfId="0" applyFont="1" applyFill="1" applyBorder="1" applyAlignment="1" applyProtection="1">
      <alignment horizontal="center" vertical="center"/>
      <protection locked="0"/>
    </xf>
    <xf numFmtId="165" fontId="5" fillId="15" borderId="4" xfId="0" applyNumberFormat="1" applyFont="1" applyFill="1" applyBorder="1" applyAlignment="1" applyProtection="1">
      <alignment horizontal="right" vertical="center"/>
      <protection locked="0"/>
    </xf>
    <xf numFmtId="0" fontId="5" fillId="16" borderId="4" xfId="0" applyFont="1" applyFill="1" applyBorder="1" applyAlignment="1" applyProtection="1">
      <alignment horizontal="center" vertical="center"/>
      <protection locked="0"/>
    </xf>
    <xf numFmtId="165" fontId="5" fillId="16" borderId="4" xfId="0" applyNumberFormat="1" applyFont="1" applyFill="1" applyBorder="1" applyAlignment="1" applyProtection="1">
      <alignment horizontal="right" vertical="center"/>
      <protection locked="0"/>
    </xf>
    <xf numFmtId="166" fontId="26" fillId="0" borderId="6" xfId="1" applyNumberFormat="1" applyFont="1" applyBorder="1" applyAlignment="1">
      <alignment horizontal="center" vertical="center"/>
    </xf>
    <xf numFmtId="0" fontId="2" fillId="0" borderId="0" xfId="3" applyFont="1"/>
    <xf numFmtId="166" fontId="26" fillId="15" borderId="4" xfId="1" applyNumberFormat="1" applyFont="1" applyFill="1" applyBorder="1" applyAlignment="1">
      <alignment horizontal="center"/>
    </xf>
    <xf numFmtId="0" fontId="26" fillId="14" borderId="4" xfId="0" applyFont="1" applyFill="1" applyBorder="1" applyAlignment="1">
      <alignment horizontal="center" vertical="center"/>
    </xf>
    <xf numFmtId="0" fontId="26" fillId="15" borderId="4" xfId="0" applyFont="1" applyFill="1" applyBorder="1" applyAlignment="1">
      <alignment horizontal="center" vertical="center"/>
    </xf>
    <xf numFmtId="166" fontId="26" fillId="17" borderId="4" xfId="1" applyNumberFormat="1" applyFont="1" applyFill="1" applyBorder="1" applyAlignment="1">
      <alignment horizontal="center"/>
    </xf>
    <xf numFmtId="0" fontId="31" fillId="16" borderId="29" xfId="6" applyFont="1" applyFill="1" applyBorder="1" applyAlignment="1">
      <alignment horizontal="center" vertical="center"/>
    </xf>
    <xf numFmtId="3" fontId="28" fillId="16" borderId="27" xfId="0" applyNumberFormat="1" applyFont="1" applyFill="1" applyBorder="1" applyAlignment="1">
      <alignment horizontal="left" vertical="center" wrapText="1"/>
    </xf>
    <xf numFmtId="3" fontId="28" fillId="16" borderId="27" xfId="0" applyNumberFormat="1" applyFont="1" applyFill="1" applyBorder="1" applyAlignment="1">
      <alignment horizontal="center" vertical="center"/>
    </xf>
    <xf numFmtId="0" fontId="31" fillId="14" borderId="29" xfId="6" applyFont="1" applyFill="1" applyBorder="1" applyAlignment="1">
      <alignment horizontal="center" vertical="center"/>
    </xf>
    <xf numFmtId="3" fontId="28" fillId="14" borderId="27" xfId="0" applyNumberFormat="1" applyFont="1" applyFill="1" applyBorder="1" applyAlignment="1">
      <alignment horizontal="left" vertical="center" wrapText="1"/>
    </xf>
    <xf numFmtId="3" fontId="28" fillId="14" borderId="27" xfId="0" applyNumberFormat="1" applyFont="1" applyFill="1" applyBorder="1" applyAlignment="1">
      <alignment horizontal="center" vertical="center"/>
    </xf>
    <xf numFmtId="3" fontId="28" fillId="14" borderId="29" xfId="0" applyNumberFormat="1" applyFont="1" applyFill="1" applyBorder="1" applyAlignment="1">
      <alignment horizontal="center" vertical="center"/>
    </xf>
    <xf numFmtId="0" fontId="40" fillId="0" borderId="0" xfId="0" applyFont="1"/>
    <xf numFmtId="9" fontId="27" fillId="0" borderId="0" xfId="11" applyFont="1"/>
    <xf numFmtId="165" fontId="12" fillId="0" borderId="35" xfId="3" applyNumberFormat="1" applyFont="1" applyBorder="1" applyAlignment="1"/>
    <xf numFmtId="2" fontId="27" fillId="0" borderId="0" xfId="11" applyNumberFormat="1" applyFont="1"/>
    <xf numFmtId="165" fontId="17" fillId="0" borderId="4" xfId="3" applyNumberFormat="1" applyFont="1" applyFill="1" applyBorder="1" applyAlignment="1">
      <alignment horizontal="center" vertical="center" wrapText="1"/>
    </xf>
    <xf numFmtId="167" fontId="17" fillId="0" borderId="4" xfId="2" applyNumberFormat="1" applyFont="1" applyFill="1" applyBorder="1" applyAlignment="1">
      <alignment horizontal="center" vertical="center" wrapText="1"/>
    </xf>
    <xf numFmtId="169" fontId="17" fillId="7" borderId="0" xfId="1" applyNumberFormat="1" applyFont="1" applyFill="1" applyBorder="1" applyAlignment="1">
      <alignment horizontal="center" vertical="center" wrapText="1"/>
    </xf>
    <xf numFmtId="167" fontId="26" fillId="15" borderId="4" xfId="3" applyNumberFormat="1" applyFont="1" applyFill="1" applyBorder="1"/>
    <xf numFmtId="0" fontId="1" fillId="0" borderId="0" xfId="3" applyFont="1"/>
    <xf numFmtId="166" fontId="26" fillId="15" borderId="4" xfId="3" applyNumberFormat="1" applyFont="1" applyFill="1" applyBorder="1"/>
    <xf numFmtId="167" fontId="17" fillId="18" borderId="4" xfId="2" applyNumberFormat="1" applyFont="1" applyFill="1" applyBorder="1" applyAlignment="1">
      <alignment horizontal="center" vertical="center" wrapText="1"/>
    </xf>
    <xf numFmtId="165" fontId="17" fillId="18" borderId="4" xfId="3" applyNumberFormat="1" applyFont="1" applyFill="1" applyBorder="1" applyAlignment="1">
      <alignment horizontal="center" vertical="center" wrapText="1"/>
    </xf>
    <xf numFmtId="166" fontId="0" fillId="0" borderId="4" xfId="1" applyNumberFormat="1" applyFont="1" applyFill="1" applyBorder="1"/>
    <xf numFmtId="166" fontId="26" fillId="16" borderId="4" xfId="1" applyNumberFormat="1" applyFont="1" applyFill="1" applyBorder="1" applyAlignment="1">
      <alignment horizontal="center"/>
    </xf>
    <xf numFmtId="0" fontId="26" fillId="16" borderId="4" xfId="0" applyFont="1" applyFill="1" applyBorder="1" applyAlignment="1">
      <alignment horizontal="center" vertical="center"/>
    </xf>
    <xf numFmtId="4" fontId="0" fillId="0" borderId="4" xfId="0" applyNumberFormat="1" applyBorder="1"/>
    <xf numFmtId="0" fontId="8" fillId="0" borderId="4" xfId="0" applyFont="1" applyBorder="1" applyAlignment="1" applyProtection="1">
      <alignment horizontal="center" vertical="center" wrapText="1"/>
    </xf>
    <xf numFmtId="165" fontId="8" fillId="0" borderId="4" xfId="0" applyNumberFormat="1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/>
      <protection locked="0"/>
    </xf>
    <xf numFmtId="0" fontId="6" fillId="0" borderId="4" xfId="0" applyFont="1" applyBorder="1" applyAlignment="1" applyProtection="1">
      <alignment horizontal="center" vertical="center" wrapText="1"/>
    </xf>
    <xf numFmtId="165" fontId="10" fillId="0" borderId="4" xfId="0" applyNumberFormat="1" applyFont="1" applyBorder="1" applyProtection="1"/>
    <xf numFmtId="171" fontId="27" fillId="0" borderId="0" xfId="0" applyNumberFormat="1" applyFont="1"/>
    <xf numFmtId="172" fontId="17" fillId="5" borderId="4" xfId="3" applyNumberFormat="1" applyFont="1" applyFill="1" applyBorder="1" applyAlignment="1">
      <alignment horizontal="center" vertical="center" wrapText="1"/>
    </xf>
    <xf numFmtId="9" fontId="39" fillId="13" borderId="0" xfId="11" applyFont="1" applyFill="1"/>
    <xf numFmtId="9" fontId="27" fillId="0" borderId="0" xfId="0" applyNumberFormat="1" applyFont="1"/>
    <xf numFmtId="44" fontId="27" fillId="0" borderId="0" xfId="12" applyFont="1"/>
    <xf numFmtId="166" fontId="21" fillId="0" borderId="4" xfId="2" applyNumberFormat="1" applyFont="1" applyFill="1" applyBorder="1" applyAlignment="1">
      <alignment horizontal="center" vertical="center" wrapText="1"/>
    </xf>
    <xf numFmtId="166" fontId="18" fillId="0" borderId="4" xfId="1" applyNumberFormat="1" applyFont="1" applyFill="1" applyBorder="1" applyAlignment="1">
      <alignment vertical="center" wrapText="1"/>
    </xf>
    <xf numFmtId="0" fontId="7" fillId="0" borderId="0" xfId="0" applyFont="1"/>
    <xf numFmtId="9" fontId="0" fillId="0" borderId="0" xfId="11" applyFont="1" applyAlignment="1">
      <alignment horizontal="center"/>
    </xf>
    <xf numFmtId="165" fontId="0" fillId="0" borderId="0" xfId="0" applyNumberFormat="1"/>
    <xf numFmtId="43" fontId="0" fillId="0" borderId="0" xfId="13" applyFont="1"/>
    <xf numFmtId="2" fontId="0" fillId="0" borderId="0" xfId="0" applyNumberFormat="1"/>
    <xf numFmtId="43" fontId="27" fillId="0" borderId="0" xfId="13" applyFont="1"/>
    <xf numFmtId="43" fontId="27" fillId="0" borderId="0" xfId="0" applyNumberFormat="1" applyFont="1"/>
    <xf numFmtId="168" fontId="27" fillId="0" borderId="0" xfId="11" applyNumberFormat="1" applyFont="1"/>
    <xf numFmtId="0" fontId="37" fillId="11" borderId="32" xfId="8" applyBorder="1" applyAlignment="1">
      <alignment horizontal="center" vertical="center"/>
    </xf>
    <xf numFmtId="0" fontId="37" fillId="11" borderId="37" xfId="8" applyBorder="1" applyAlignment="1">
      <alignment horizontal="center" vertical="center"/>
    </xf>
    <xf numFmtId="0" fontId="37" fillId="11" borderId="33" xfId="8" applyBorder="1" applyAlignment="1">
      <alignment horizontal="center" vertical="center"/>
    </xf>
    <xf numFmtId="0" fontId="35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6" fillId="0" borderId="4" xfId="0" applyFont="1" applyBorder="1" applyAlignment="1" applyProtection="1">
      <alignment horizontal="center" vertical="center" wrapText="1"/>
    </xf>
    <xf numFmtId="0" fontId="6" fillId="0" borderId="21" xfId="0" applyFont="1" applyBorder="1" applyAlignment="1" applyProtection="1">
      <alignment horizontal="center" vertical="center" wrapText="1"/>
    </xf>
    <xf numFmtId="0" fontId="6" fillId="0" borderId="30" xfId="0" applyFont="1" applyBorder="1" applyAlignment="1" applyProtection="1">
      <alignment horizontal="center" vertical="center" wrapText="1"/>
    </xf>
    <xf numFmtId="0" fontId="6" fillId="0" borderId="22" xfId="0" applyFont="1" applyBorder="1" applyAlignment="1" applyProtection="1">
      <alignment horizontal="center" vertical="center" wrapText="1"/>
    </xf>
    <xf numFmtId="0" fontId="7" fillId="16" borderId="4" xfId="0" applyFont="1" applyFill="1" applyBorder="1" applyAlignment="1" applyProtection="1">
      <alignment horizontal="center" vertical="center" wrapText="1"/>
    </xf>
    <xf numFmtId="0" fontId="5" fillId="16" borderId="4" xfId="0" applyFont="1" applyFill="1" applyBorder="1" applyAlignment="1" applyProtection="1">
      <alignment horizontal="center" vertical="center"/>
    </xf>
    <xf numFmtId="0" fontId="11" fillId="0" borderId="0" xfId="0" applyFont="1" applyAlignment="1">
      <alignment horizontal="center"/>
    </xf>
    <xf numFmtId="0" fontId="11" fillId="0" borderId="0" xfId="0" applyFont="1" applyFill="1" applyAlignment="1">
      <alignment horizontal="center"/>
    </xf>
    <xf numFmtId="0" fontId="5" fillId="14" borderId="4" xfId="0" applyFont="1" applyFill="1" applyBorder="1" applyAlignment="1" applyProtection="1">
      <alignment horizontal="center" vertical="center"/>
    </xf>
    <xf numFmtId="165" fontId="10" fillId="0" borderId="0" xfId="0" applyNumberFormat="1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 wrapText="1"/>
    </xf>
    <xf numFmtId="0" fontId="9" fillId="0" borderId="4" xfId="0" applyFont="1" applyBorder="1" applyAlignment="1" applyProtection="1">
      <alignment horizontal="center" vertical="center" wrapText="1"/>
    </xf>
    <xf numFmtId="0" fontId="7" fillId="15" borderId="4" xfId="0" applyFont="1" applyFill="1" applyBorder="1" applyAlignment="1" applyProtection="1">
      <alignment horizontal="center" vertical="center" wrapText="1"/>
    </xf>
    <xf numFmtId="0" fontId="5" fillId="15" borderId="4" xfId="0" applyFont="1" applyFill="1" applyBorder="1" applyAlignment="1" applyProtection="1">
      <alignment horizontal="center" vertical="center"/>
    </xf>
    <xf numFmtId="165" fontId="10" fillId="0" borderId="4" xfId="0" applyNumberFormat="1" applyFont="1" applyBorder="1" applyAlignment="1" applyProtection="1">
      <alignment horizontal="center" vertical="center"/>
    </xf>
    <xf numFmtId="0" fontId="7" fillId="14" borderId="4" xfId="0" applyFont="1" applyFill="1" applyBorder="1" applyAlignment="1" applyProtection="1">
      <alignment horizontal="center" vertical="center" wrapText="1"/>
    </xf>
    <xf numFmtId="165" fontId="10" fillId="0" borderId="14" xfId="0" applyNumberFormat="1" applyFont="1" applyBorder="1" applyAlignment="1" applyProtection="1">
      <alignment horizontal="center" vertical="center"/>
    </xf>
    <xf numFmtId="165" fontId="10" fillId="0" borderId="15" xfId="0" applyNumberFormat="1" applyFont="1" applyBorder="1" applyAlignment="1" applyProtection="1">
      <alignment horizontal="center" vertical="center"/>
    </xf>
    <xf numFmtId="165" fontId="10" fillId="0" borderId="16" xfId="0" applyNumberFormat="1" applyFont="1" applyBorder="1" applyAlignment="1" applyProtection="1">
      <alignment horizontal="center" vertical="center"/>
    </xf>
    <xf numFmtId="0" fontId="6" fillId="0" borderId="19" xfId="0" applyFont="1" applyBorder="1" applyAlignment="1" applyProtection="1">
      <alignment horizontal="center" vertical="center" wrapText="1"/>
    </xf>
    <xf numFmtId="0" fontId="6" fillId="0" borderId="17" xfId="0" applyFont="1" applyBorder="1" applyAlignment="1" applyProtection="1">
      <alignment horizontal="center" vertical="center" wrapText="1"/>
    </xf>
    <xf numFmtId="0" fontId="6" fillId="0" borderId="7" xfId="0" applyFont="1" applyBorder="1" applyAlignment="1" applyProtection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/>
    </xf>
    <xf numFmtId="0" fontId="5" fillId="2" borderId="9" xfId="0" applyFont="1" applyFill="1" applyBorder="1" applyAlignment="1" applyProtection="1">
      <alignment horizontal="center" vertical="center"/>
    </xf>
    <xf numFmtId="0" fontId="6" fillId="0" borderId="18" xfId="0" applyFont="1" applyBorder="1" applyAlignment="1" applyProtection="1">
      <alignment horizontal="center" vertical="center" wrapText="1"/>
    </xf>
    <xf numFmtId="0" fontId="12" fillId="0" borderId="15" xfId="3" applyFont="1" applyBorder="1" applyAlignment="1">
      <alignment horizontal="left"/>
    </xf>
    <xf numFmtId="0" fontId="12" fillId="0" borderId="36" xfId="3" applyFont="1" applyBorder="1" applyAlignment="1">
      <alignment horizontal="left"/>
    </xf>
    <xf numFmtId="167" fontId="26" fillId="15" borderId="4" xfId="3" applyNumberFormat="1" applyFont="1" applyFill="1" applyBorder="1" applyAlignment="1">
      <alignment horizontal="center"/>
    </xf>
    <xf numFmtId="0" fontId="12" fillId="0" borderId="13" xfId="3" applyFont="1" applyFill="1" applyBorder="1" applyAlignment="1">
      <alignment horizontal="center"/>
    </xf>
    <xf numFmtId="0" fontId="12" fillId="3" borderId="4" xfId="3" applyFont="1" applyFill="1" applyBorder="1" applyAlignment="1">
      <alignment horizontal="center"/>
    </xf>
    <xf numFmtId="0" fontId="14" fillId="4" borderId="21" xfId="3" applyFont="1" applyFill="1" applyBorder="1" applyAlignment="1">
      <alignment horizontal="center" vertical="center" wrapText="1"/>
    </xf>
    <xf numFmtId="0" fontId="14" fillId="4" borderId="22" xfId="3" applyFont="1" applyFill="1" applyBorder="1" applyAlignment="1">
      <alignment horizontal="center" vertical="center" wrapText="1"/>
    </xf>
    <xf numFmtId="0" fontId="17" fillId="6" borderId="23" xfId="3" applyFont="1" applyFill="1" applyBorder="1" applyAlignment="1">
      <alignment horizontal="center" vertical="center" wrapText="1"/>
    </xf>
    <xf numFmtId="0" fontId="17" fillId="6" borderId="34" xfId="3" applyFont="1" applyFill="1" applyBorder="1" applyAlignment="1">
      <alignment horizontal="center" vertical="center" wrapText="1"/>
    </xf>
    <xf numFmtId="0" fontId="17" fillId="6" borderId="6" xfId="3" applyFont="1" applyFill="1" applyBorder="1" applyAlignment="1">
      <alignment horizontal="center" vertical="center" wrapText="1"/>
    </xf>
    <xf numFmtId="0" fontId="17" fillId="6" borderId="4" xfId="3" applyFont="1" applyFill="1" applyBorder="1" applyAlignment="1">
      <alignment horizontal="center" vertical="center" wrapText="1"/>
    </xf>
    <xf numFmtId="0" fontId="26" fillId="15" borderId="21" xfId="3" applyFont="1" applyFill="1" applyBorder="1" applyAlignment="1">
      <alignment horizontal="center"/>
    </xf>
    <xf numFmtId="0" fontId="26" fillId="15" borderId="30" xfId="3" applyFont="1" applyFill="1" applyBorder="1" applyAlignment="1">
      <alignment horizontal="center"/>
    </xf>
    <xf numFmtId="0" fontId="26" fillId="15" borderId="22" xfId="3" applyFont="1" applyFill="1" applyBorder="1" applyAlignment="1">
      <alignment horizontal="center"/>
    </xf>
    <xf numFmtId="0" fontId="26" fillId="0" borderId="4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1" fillId="9" borderId="24" xfId="6" applyFont="1" applyFill="1" applyBorder="1" applyAlignment="1">
      <alignment horizontal="center" vertical="center"/>
    </xf>
    <xf numFmtId="0" fontId="31" fillId="9" borderId="28" xfId="6" applyFont="1" applyFill="1" applyBorder="1" applyAlignment="1">
      <alignment horizontal="center" vertical="center"/>
    </xf>
    <xf numFmtId="0" fontId="31" fillId="9" borderId="25" xfId="6" applyFont="1" applyFill="1" applyBorder="1" applyAlignment="1">
      <alignment horizontal="center" vertical="center"/>
    </xf>
    <xf numFmtId="0" fontId="31" fillId="9" borderId="26" xfId="6" applyFont="1" applyFill="1" applyBorder="1" applyAlignment="1">
      <alignment horizontal="center" vertical="center"/>
    </xf>
    <xf numFmtId="0" fontId="31" fillId="9" borderId="27" xfId="6" applyFont="1" applyFill="1" applyBorder="1" applyAlignment="1">
      <alignment horizontal="center" vertical="center"/>
    </xf>
    <xf numFmtId="0" fontId="31" fillId="16" borderId="24" xfId="6" applyFont="1" applyFill="1" applyBorder="1" applyAlignment="1">
      <alignment horizontal="center" vertical="center"/>
    </xf>
    <xf numFmtId="0" fontId="31" fillId="16" borderId="28" xfId="6" applyFont="1" applyFill="1" applyBorder="1" applyAlignment="1">
      <alignment horizontal="center" vertical="center"/>
    </xf>
    <xf numFmtId="0" fontId="31" fillId="16" borderId="25" xfId="6" applyFont="1" applyFill="1" applyBorder="1" applyAlignment="1">
      <alignment horizontal="center" vertical="center"/>
    </xf>
    <xf numFmtId="0" fontId="31" fillId="16" borderId="26" xfId="6" applyFont="1" applyFill="1" applyBorder="1" applyAlignment="1">
      <alignment horizontal="center" vertical="center"/>
    </xf>
    <xf numFmtId="0" fontId="31" fillId="16" borderId="27" xfId="6" applyFont="1" applyFill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31" fillId="14" borderId="24" xfId="6" applyFont="1" applyFill="1" applyBorder="1" applyAlignment="1">
      <alignment horizontal="center" vertical="center"/>
    </xf>
    <xf numFmtId="0" fontId="31" fillId="14" borderId="28" xfId="6" applyFont="1" applyFill="1" applyBorder="1" applyAlignment="1">
      <alignment horizontal="center" vertical="center"/>
    </xf>
    <xf numFmtId="0" fontId="31" fillId="14" borderId="25" xfId="6" applyFont="1" applyFill="1" applyBorder="1" applyAlignment="1">
      <alignment horizontal="center" vertical="center"/>
    </xf>
    <xf numFmtId="0" fontId="31" fillId="14" borderId="26" xfId="6" applyFont="1" applyFill="1" applyBorder="1" applyAlignment="1">
      <alignment horizontal="center" vertical="center"/>
    </xf>
    <xf numFmtId="0" fontId="31" fillId="14" borderId="27" xfId="6" applyFont="1" applyFill="1" applyBorder="1" applyAlignment="1">
      <alignment horizontal="center" vertical="center"/>
    </xf>
  </cellXfs>
  <cellStyles count="14">
    <cellStyle name="Cálculo" xfId="9" builtinId="22"/>
    <cellStyle name="Énfasis1" xfId="10" builtinId="29"/>
    <cellStyle name="Entrada" xfId="8" builtinId="20"/>
    <cellStyle name="Millares" xfId="13" builtinId="3"/>
    <cellStyle name="Millares 2" xfId="1"/>
    <cellStyle name="Millares 3" xfId="2"/>
    <cellStyle name="Moneda" xfId="12" builtinId="4"/>
    <cellStyle name="Normal" xfId="0" builtinId="0"/>
    <cellStyle name="Normal 2" xfId="3"/>
    <cellStyle name="Normal 2 2" xfId="6"/>
    <cellStyle name="Normal 3" xfId="7"/>
    <cellStyle name="Porcentaje" xfId="11" builtinId="5"/>
    <cellStyle name="Porcentaje 2" xfId="4"/>
    <cellStyle name="Porcentaje 2 2" xfId="5"/>
  </cellStyles>
  <dxfs count="0"/>
  <tableStyles count="0" defaultTableStyle="TableStyleMedium2" defaultPivotStyle="PivotStyleLight16"/>
  <colors>
    <mruColors>
      <color rgb="FFCCFFCC"/>
      <color rgb="FFCCCCFF"/>
      <color rgb="FF99CCFF"/>
      <color rgb="FFD9B3FF"/>
      <color rgb="FFCC99FF"/>
      <color rgb="FF99FFCC"/>
      <color rgb="FFFF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theme" Target="theme/theme1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2" Type="http://schemas.openxmlformats.org/officeDocument/2006/relationships/worksheet" Target="worksheets/sheet1.xml"/><Relationship Id="rId16" Type="http://schemas.openxmlformats.org/officeDocument/2006/relationships/calcChain" Target="calcChain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9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Análisis</a:t>
            </a:r>
            <a:r>
              <a:rPr lang="es-CO" baseline="0"/>
              <a:t> Económico</a:t>
            </a:r>
            <a:endParaRPr lang="es-CO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RESUMEN!$C$43</c:f>
              <c:strCache>
                <c:ptCount val="1"/>
                <c:pt idx="0">
                  <c:v>CAOM CMH</c:v>
                </c:pt>
              </c:strCache>
            </c:strRef>
          </c:tx>
          <c:marker>
            <c:symbol val="none"/>
          </c:marker>
          <c:val>
            <c:numRef>
              <c:f>RESUMEN!$D$43:$AG$43</c:f>
              <c:numCache>
                <c:formatCode>General</c:formatCode>
                <c:ptCount val="30"/>
                <c:pt idx="0">
                  <c:v>297816431.60112482</c:v>
                </c:pt>
                <c:pt idx="1">
                  <c:v>360028849.85918665</c:v>
                </c:pt>
                <c:pt idx="2">
                  <c:v>331435748.56624192</c:v>
                </c:pt>
                <c:pt idx="3">
                  <c:v>399237162.44221723</c:v>
                </c:pt>
                <c:pt idx="4">
                  <c:v>405048152.29696923</c:v>
                </c:pt>
                <c:pt idx="5">
                  <c:v>442755904.38408482</c:v>
                </c:pt>
                <c:pt idx="6">
                  <c:v>410492539.06870109</c:v>
                </c:pt>
                <c:pt idx="7">
                  <c:v>491062381.00512975</c:v>
                </c:pt>
                <c:pt idx="8">
                  <c:v>456836092.7952925</c:v>
                </c:pt>
                <c:pt idx="9">
                  <c:v>588725786.49396157</c:v>
                </c:pt>
                <c:pt idx="10">
                  <c:v>508413353.65689725</c:v>
                </c:pt>
                <c:pt idx="11">
                  <c:v>604219405.78969359</c:v>
                </c:pt>
                <c:pt idx="12">
                  <c:v>565815512.72361577</c:v>
                </c:pt>
                <c:pt idx="13">
                  <c:v>670314698.32790577</c:v>
                </c:pt>
                <c:pt idx="14">
                  <c:v>683280422.21638966</c:v>
                </c:pt>
                <c:pt idx="15">
                  <c:v>918401059.09145856</c:v>
                </c:pt>
                <c:pt idx="16">
                  <c:v>700800791.06718576</c:v>
                </c:pt>
                <c:pt idx="17">
                  <c:v>825188274.71636033</c:v>
                </c:pt>
                <c:pt idx="18">
                  <c:v>779931286.74301231</c:v>
                </c:pt>
                <c:pt idx="19">
                  <c:v>980863876.99820781</c:v>
                </c:pt>
                <c:pt idx="20">
                  <c:v>867999181.57186043</c:v>
                </c:pt>
                <c:pt idx="21">
                  <c:v>1016163819.8265001</c:v>
                </c:pt>
                <c:pt idx="22">
                  <c:v>966014108.96314812</c:v>
                </c:pt>
                <c:pt idx="23">
                  <c:v>1127764222.3789928</c:v>
                </c:pt>
                <c:pt idx="24">
                  <c:v>1154411070.7242794</c:v>
                </c:pt>
                <c:pt idx="25">
                  <c:v>1251712936.9542158</c:v>
                </c:pt>
                <c:pt idx="26">
                  <c:v>1196506843.0874321</c:v>
                </c:pt>
                <c:pt idx="27">
                  <c:v>1389383981.1229155</c:v>
                </c:pt>
                <c:pt idx="28">
                  <c:v>1331627289.7648301</c:v>
                </c:pt>
                <c:pt idx="29">
                  <c:v>1638799223.4403188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RESUMEN!$C$44</c:f>
              <c:strCache>
                <c:ptCount val="1"/>
                <c:pt idx="0">
                  <c:v>CAOM SAP</c:v>
                </c:pt>
              </c:strCache>
            </c:strRef>
          </c:tx>
          <c:marker>
            <c:symbol val="none"/>
          </c:marker>
          <c:val>
            <c:numRef>
              <c:f>RESUMEN!$D$44:$AG$44</c:f>
              <c:numCache>
                <c:formatCode>General</c:formatCode>
                <c:ptCount val="30"/>
                <c:pt idx="0">
                  <c:v>296637276.29390407</c:v>
                </c:pt>
                <c:pt idx="1">
                  <c:v>312932408.41006875</c:v>
                </c:pt>
                <c:pt idx="2">
                  <c:v>359993064.67102253</c:v>
                </c:pt>
                <c:pt idx="3">
                  <c:v>348258196.35791272</c:v>
                </c:pt>
                <c:pt idx="4">
                  <c:v>404884071.18087858</c:v>
                </c:pt>
                <c:pt idx="5">
                  <c:v>421172927.59627539</c:v>
                </c:pt>
                <c:pt idx="6">
                  <c:v>408865429.57551676</c:v>
                </c:pt>
                <c:pt idx="7">
                  <c:v>431327825.47673434</c:v>
                </c:pt>
                <c:pt idx="8">
                  <c:v>492819836.23526645</c:v>
                </c:pt>
                <c:pt idx="9">
                  <c:v>525641021.479105</c:v>
                </c:pt>
                <c:pt idx="10">
                  <c:v>506396697.38343596</c:v>
                </c:pt>
                <c:pt idx="11">
                  <c:v>576733482.06017208</c:v>
                </c:pt>
                <c:pt idx="12">
                  <c:v>563570415.91273761</c:v>
                </c:pt>
                <c:pt idx="13">
                  <c:v>594534899.30012608</c:v>
                </c:pt>
                <c:pt idx="14">
                  <c:v>730524524.30355012</c:v>
                </c:pt>
                <c:pt idx="15">
                  <c:v>865379029.05399275</c:v>
                </c:pt>
                <c:pt idx="16">
                  <c:v>698018304.04192102</c:v>
                </c:pt>
                <c:pt idx="17">
                  <c:v>790166346.64990342</c:v>
                </c:pt>
                <c:pt idx="18">
                  <c:v>776833666.38759959</c:v>
                </c:pt>
                <c:pt idx="19">
                  <c:v>887043886.01161718</c:v>
                </c:pt>
                <c:pt idx="20">
                  <c:v>925062076.29949737</c:v>
                </c:pt>
                <c:pt idx="21">
                  <c:v>912057406.19070375</c:v>
                </c:pt>
                <c:pt idx="22">
                  <c:v>962175174.84649754</c:v>
                </c:pt>
                <c:pt idx="23">
                  <c:v>1083114609.3471737</c:v>
                </c:pt>
                <c:pt idx="24">
                  <c:v>1152980275.6792901</c:v>
                </c:pt>
                <c:pt idx="25">
                  <c:v>1129670512.2313409</c:v>
                </c:pt>
                <c:pt idx="26">
                  <c:v>1268315414.580914</c:v>
                </c:pt>
                <c:pt idx="27">
                  <c:v>1257240280.851228</c:v>
                </c:pt>
                <c:pt idx="28">
                  <c:v>1326331065.1320763</c:v>
                </c:pt>
                <c:pt idx="29">
                  <c:v>1585299098.5675311</c:v>
                </c:pt>
              </c:numCache>
            </c:numRef>
          </c:val>
          <c:smooth val="0"/>
        </c:ser>
        <c:ser>
          <c:idx val="3"/>
          <c:order val="2"/>
          <c:tx>
            <c:v>DIF SAP-LED</c:v>
          </c:tx>
          <c:marker>
            <c:symbol val="none"/>
          </c:marker>
          <c:val>
            <c:numRef>
              <c:f>RESUMEN!$D$30:$AG$30</c:f>
              <c:numCache>
                <c:formatCode>[$$-240A]#,##0.00</c:formatCode>
                <c:ptCount val="30"/>
                <c:pt idx="0">
                  <c:v>-588177589.51523399</c:v>
                </c:pt>
                <c:pt idx="1">
                  <c:v>-410003321.53380591</c:v>
                </c:pt>
                <c:pt idx="2">
                  <c:v>-192159652.77499926</c:v>
                </c:pt>
                <c:pt idx="3">
                  <c:v>6152190.8251256645</c:v>
                </c:pt>
                <c:pt idx="4">
                  <c:v>252864970.17332214</c:v>
                </c:pt>
                <c:pt idx="5">
                  <c:v>507190179.62597328</c:v>
                </c:pt>
                <c:pt idx="6">
                  <c:v>740055181.08941603</c:v>
                </c:pt>
                <c:pt idx="7">
                  <c:v>985727426.01853991</c:v>
                </c:pt>
                <c:pt idx="8">
                  <c:v>1282706490.7311299</c:v>
                </c:pt>
                <c:pt idx="9">
                  <c:v>1601762398.8470659</c:v>
                </c:pt>
                <c:pt idx="10">
                  <c:v>1890239778.2493439</c:v>
                </c:pt>
                <c:pt idx="11">
                  <c:v>2237097475.5210586</c:v>
                </c:pt>
                <c:pt idx="12">
                  <c:v>2558179197.9909043</c:v>
                </c:pt>
                <c:pt idx="13">
                  <c:v>2896919995.5980678</c:v>
                </c:pt>
                <c:pt idx="14">
                  <c:v>3357614471.3004022</c:v>
                </c:pt>
                <c:pt idx="15">
                  <c:v>2865663017.859488</c:v>
                </c:pt>
                <c:pt idx="16">
                  <c:v>3263425041.3156133</c:v>
                </c:pt>
                <c:pt idx="17">
                  <c:v>3736857827.2668681</c:v>
                </c:pt>
                <c:pt idx="18">
                  <c:v>4179575875.0495338</c:v>
                </c:pt>
                <c:pt idx="19">
                  <c:v>4714167602.8823719</c:v>
                </c:pt>
                <c:pt idx="20">
                  <c:v>5267434064.5306606</c:v>
                </c:pt>
                <c:pt idx="21">
                  <c:v>5787290165.9808388</c:v>
                </c:pt>
                <c:pt idx="22">
                  <c:v>6335737755.7912416</c:v>
                </c:pt>
                <c:pt idx="23">
                  <c:v>6982416346.0491009</c:v>
                </c:pt>
                <c:pt idx="24">
                  <c:v>7675005068.0378809</c:v>
                </c:pt>
                <c:pt idx="25">
                  <c:v>8319012875.4323988</c:v>
                </c:pt>
                <c:pt idx="26">
                  <c:v>9075006536.0893974</c:v>
                </c:pt>
                <c:pt idx="27">
                  <c:v>9791801862.2169838</c:v>
                </c:pt>
                <c:pt idx="28">
                  <c:v>10548020175.608349</c:v>
                </c:pt>
                <c:pt idx="29">
                  <c:v>11531909263.601871</c:v>
                </c:pt>
              </c:numCache>
            </c:numRef>
          </c:val>
          <c:smooth val="0"/>
        </c:ser>
        <c:ser>
          <c:idx val="4"/>
          <c:order val="3"/>
          <c:tx>
            <c:v>DIF CMH-LED</c:v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val>
            <c:numRef>
              <c:f>RESUMEN!$D$37:$AG$37</c:f>
              <c:numCache>
                <c:formatCode>[$$-240A]#,##0.00</c:formatCode>
                <c:ptCount val="30"/>
                <c:pt idx="0">
                  <c:v>-570370534.2080133</c:v>
                </c:pt>
                <c:pt idx="1">
                  <c:v>-345099824.77746731</c:v>
                </c:pt>
                <c:pt idx="2">
                  <c:v>-155813472.12344128</c:v>
                </c:pt>
                <c:pt idx="3">
                  <c:v>93477337.560988158</c:v>
                </c:pt>
                <c:pt idx="4">
                  <c:v>340354198.02527529</c:v>
                </c:pt>
                <c:pt idx="5">
                  <c:v>616262384.26573586</c:v>
                </c:pt>
                <c:pt idx="6">
                  <c:v>850754495.222363</c:v>
                </c:pt>
                <c:pt idx="7">
                  <c:v>1156161295.6798823</c:v>
                </c:pt>
                <c:pt idx="8">
                  <c:v>1417156616.9524984</c:v>
                </c:pt>
                <c:pt idx="9">
                  <c:v>1799297290.0832911</c:v>
                </c:pt>
                <c:pt idx="10">
                  <c:v>2089791325.7590301</c:v>
                </c:pt>
                <c:pt idx="11">
                  <c:v>2464134946.7602663</c:v>
                </c:pt>
                <c:pt idx="12">
                  <c:v>2787461766.0409904</c:v>
                </c:pt>
                <c:pt idx="13">
                  <c:v>3201982362.6759334</c:v>
                </c:pt>
                <c:pt idx="14">
                  <c:v>3615432736.2911072</c:v>
                </c:pt>
                <c:pt idx="15">
                  <c:v>3176503312.8876591</c:v>
                </c:pt>
                <c:pt idx="16">
                  <c:v>3577047823.3690491</c:v>
                </c:pt>
                <c:pt idx="17">
                  <c:v>4085502537.3867607</c:v>
                </c:pt>
                <c:pt idx="18">
                  <c:v>4531318205.5248394</c:v>
                </c:pt>
                <c:pt idx="19">
                  <c:v>5159729924.3442688</c:v>
                </c:pt>
                <c:pt idx="20">
                  <c:v>5655933491.2649212</c:v>
                </c:pt>
                <c:pt idx="21">
                  <c:v>6279896006.3508959</c:v>
                </c:pt>
                <c:pt idx="22">
                  <c:v>6832182530.2779493</c:v>
                </c:pt>
                <c:pt idx="23">
                  <c:v>7523510733.5676279</c:v>
                </c:pt>
                <c:pt idx="24">
                  <c:v>8217530250.6013975</c:v>
                </c:pt>
                <c:pt idx="25">
                  <c:v>8983580482.7187901</c:v>
                </c:pt>
                <c:pt idx="26">
                  <c:v>9667765571.8823051</c:v>
                </c:pt>
                <c:pt idx="27">
                  <c:v>10516704598.281578</c:v>
                </c:pt>
                <c:pt idx="28">
                  <c:v>11278219136.305698</c:v>
                </c:pt>
                <c:pt idx="29">
                  <c:v>12315608349.17201</c:v>
                </c:pt>
              </c:numCache>
            </c:numRef>
          </c:val>
          <c:smooth val="0"/>
        </c:ser>
        <c:ser>
          <c:idx val="0"/>
          <c:order val="4"/>
          <c:tx>
            <c:v>CAOM LED</c:v>
          </c:tx>
          <c:marker>
            <c:symbol val="none"/>
          </c:marker>
          <c:val>
            <c:numRef>
              <c:f>RESUMEN!$D$42:$AG$42</c:f>
              <c:numCache>
                <c:formatCode>General</c:formatCode>
                <c:ptCount val="30"/>
                <c:pt idx="0">
                  <c:v>127751465.80913809</c:v>
                </c:pt>
                <c:pt idx="1">
                  <c:v>134758140.42864066</c:v>
                </c:pt>
                <c:pt idx="2">
                  <c:v>142149395.91221589</c:v>
                </c:pt>
                <c:pt idx="3">
                  <c:v>149946352.75778779</c:v>
                </c:pt>
                <c:pt idx="4">
                  <c:v>158171291.8326821</c:v>
                </c:pt>
                <c:pt idx="5">
                  <c:v>166847718.14362425</c:v>
                </c:pt>
                <c:pt idx="6">
                  <c:v>176000428.11207399</c:v>
                </c:pt>
                <c:pt idx="7">
                  <c:v>185655580.54761052</c:v>
                </c:pt>
                <c:pt idx="8">
                  <c:v>195840771.52267644</c:v>
                </c:pt>
                <c:pt idx="9">
                  <c:v>206585113.36316884</c:v>
                </c:pt>
                <c:pt idx="10">
                  <c:v>217919317.98115817</c:v>
                </c:pt>
                <c:pt idx="11">
                  <c:v>229875784.78845748</c:v>
                </c:pt>
                <c:pt idx="12">
                  <c:v>242488693.44289172</c:v>
                </c:pt>
                <c:pt idx="13">
                  <c:v>255794101.69296259</c:v>
                </c:pt>
                <c:pt idx="14">
                  <c:v>269830048.60121584</c:v>
                </c:pt>
                <c:pt idx="15">
                  <c:v>1357330482.4949069</c:v>
                </c:pt>
                <c:pt idx="16">
                  <c:v>300256280.58579594</c:v>
                </c:pt>
                <c:pt idx="17">
                  <c:v>316733560.69864869</c:v>
                </c:pt>
                <c:pt idx="18">
                  <c:v>334115618.60493374</c:v>
                </c:pt>
                <c:pt idx="19">
                  <c:v>352452158.17877877</c:v>
                </c:pt>
                <c:pt idx="20">
                  <c:v>371795614.65120828</c:v>
                </c:pt>
                <c:pt idx="21">
                  <c:v>392201304.74052519</c:v>
                </c:pt>
                <c:pt idx="22">
                  <c:v>413727585.03609461</c:v>
                </c:pt>
                <c:pt idx="23">
                  <c:v>436436019.08931404</c:v>
                </c:pt>
                <c:pt idx="24">
                  <c:v>460391553.6905098</c:v>
                </c:pt>
                <c:pt idx="25">
                  <c:v>485662704.83682275</c:v>
                </c:pt>
                <c:pt idx="26">
                  <c:v>512321753.92391622</c:v>
                </c:pt>
                <c:pt idx="27">
                  <c:v>540444954.72364259</c:v>
                </c:pt>
                <c:pt idx="28">
                  <c:v>570112751.74071038</c:v>
                </c:pt>
                <c:pt idx="29">
                  <c:v>601410010.57400751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34752"/>
        <c:axId val="89036672"/>
      </c:lineChart>
      <c:catAx>
        <c:axId val="89034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Años</a:t>
                </a:r>
              </a:p>
            </c:rich>
          </c:tx>
          <c:layout/>
          <c:overlay val="0"/>
        </c:title>
        <c:majorTickMark val="none"/>
        <c:minorTickMark val="none"/>
        <c:tickLblPos val="nextTo"/>
        <c:crossAx val="89036672"/>
        <c:crosses val="autoZero"/>
        <c:auto val="1"/>
        <c:lblAlgn val="ctr"/>
        <c:lblOffset val="100"/>
        <c:noMultiLvlLbl val="0"/>
      </c:catAx>
      <c:valAx>
        <c:axId val="890366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90347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3304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51955</xdr:colOff>
      <xdr:row>1</xdr:row>
      <xdr:rowOff>0</xdr:rowOff>
    </xdr:from>
    <xdr:to>
      <xdr:col>12</xdr:col>
      <xdr:colOff>1290205</xdr:colOff>
      <xdr:row>5</xdr:row>
      <xdr:rowOff>95250</xdr:rowOff>
    </xdr:to>
    <xdr:sp macro="" textlink="">
      <xdr:nvSpPr>
        <xdr:cNvPr id="2" name="CuadroTexto 1"/>
        <xdr:cNvSpPr txBox="1"/>
      </xdr:nvSpPr>
      <xdr:spPr>
        <a:xfrm>
          <a:off x="12291580" y="504825"/>
          <a:ext cx="3771900" cy="90487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 b="1"/>
            <a:t>NOTA:</a:t>
          </a:r>
          <a:r>
            <a:rPr lang="es-ES" sz="1100" b="1" baseline="0"/>
            <a:t> </a:t>
          </a:r>
          <a:r>
            <a:rPr lang="es-ES" sz="1100" baseline="0"/>
            <a:t>estos costos acumulados son valores futuros, pues obedecen a las sumatorias de los costos de energía proyectados para cada uno de los decenios indicados. No han sido aún proyectados al  momento cero del proyecto.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</sheetPr>
  <dimension ref="B1:AG50"/>
  <sheetViews>
    <sheetView showGridLines="0" tabSelected="1" topLeftCell="A14" zoomScale="85" zoomScaleNormal="85" zoomScaleSheetLayoutView="110" workbookViewId="0">
      <selection activeCell="F27" sqref="F27"/>
    </sheetView>
  </sheetViews>
  <sheetFormatPr baseColWidth="10" defaultRowHeight="12.75" x14ac:dyDescent="0.2"/>
  <cols>
    <col min="1" max="1" width="4.5703125" style="69" customWidth="1"/>
    <col min="2" max="2" width="26" style="69" customWidth="1"/>
    <col min="3" max="3" width="27.7109375" style="69" customWidth="1"/>
    <col min="4" max="4" width="18" style="69" customWidth="1"/>
    <col min="5" max="5" width="17.7109375" style="69" customWidth="1"/>
    <col min="6" max="7" width="16.5703125" style="69" customWidth="1"/>
    <col min="8" max="8" width="17.28515625" style="69" customWidth="1"/>
    <col min="9" max="9" width="19.28515625" style="69" customWidth="1"/>
    <col min="10" max="10" width="19.85546875" style="69" customWidth="1"/>
    <col min="11" max="12" width="19" style="69" bestFit="1" customWidth="1"/>
    <col min="13" max="13" width="19.7109375" style="69" bestFit="1" customWidth="1"/>
    <col min="14" max="14" width="18" style="69" customWidth="1"/>
    <col min="15" max="15" width="18.28515625" style="69" customWidth="1"/>
    <col min="16" max="16" width="21.28515625" style="69" customWidth="1"/>
    <col min="17" max="17" width="20.28515625" style="69" customWidth="1"/>
    <col min="18" max="18" width="17.5703125" style="69" customWidth="1"/>
    <col min="19" max="19" width="17.85546875" style="69" customWidth="1"/>
    <col min="20" max="20" width="17.140625" style="69" customWidth="1"/>
    <col min="21" max="21" width="18.28515625" style="69" customWidth="1"/>
    <col min="22" max="22" width="19.85546875" style="69" customWidth="1"/>
    <col min="23" max="23" width="21.140625" style="69" customWidth="1"/>
    <col min="24" max="24" width="19.85546875" style="69" customWidth="1"/>
    <col min="25" max="25" width="20.7109375" style="69" customWidth="1"/>
    <col min="26" max="26" width="18.42578125" style="69" customWidth="1"/>
    <col min="27" max="27" width="17" style="69" customWidth="1"/>
    <col min="28" max="28" width="18.5703125" style="69" customWidth="1"/>
    <col min="29" max="29" width="18.42578125" style="69" customWidth="1"/>
    <col min="30" max="30" width="18.28515625" style="69" customWidth="1"/>
    <col min="31" max="31" width="20.85546875" style="69" customWidth="1"/>
    <col min="32" max="32" width="19.140625" style="69" customWidth="1"/>
    <col min="33" max="33" width="18.42578125" style="69" customWidth="1"/>
    <col min="34" max="16384" width="11.42578125" style="69"/>
  </cols>
  <sheetData>
    <row r="1" spans="2:16" s="71" customFormat="1" ht="15" x14ac:dyDescent="0.2">
      <c r="B1" s="191"/>
      <c r="C1" s="191"/>
      <c r="D1" s="191"/>
      <c r="E1" s="191"/>
      <c r="F1" s="191"/>
      <c r="G1" s="191"/>
      <c r="H1" s="191"/>
      <c r="I1" s="191"/>
      <c r="J1" s="80"/>
      <c r="K1" s="77"/>
      <c r="L1" s="77"/>
      <c r="M1" s="77"/>
    </row>
    <row r="2" spans="2:16" s="71" customFormat="1" ht="15" x14ac:dyDescent="0.2">
      <c r="B2" s="72"/>
      <c r="C2" s="72"/>
      <c r="D2" s="73"/>
      <c r="E2" s="73"/>
      <c r="F2" s="73"/>
      <c r="G2" s="73"/>
    </row>
    <row r="3" spans="2:16" s="71" customFormat="1" ht="15.75" x14ac:dyDescent="0.25">
      <c r="B3" s="192" t="s">
        <v>136</v>
      </c>
      <c r="C3" s="192"/>
      <c r="D3" s="192"/>
      <c r="E3" s="192"/>
      <c r="F3" s="192"/>
      <c r="G3" s="192"/>
      <c r="H3" s="192"/>
      <c r="I3" s="192"/>
      <c r="J3" s="81"/>
      <c r="K3" s="78"/>
      <c r="L3" s="78"/>
      <c r="M3" s="78"/>
    </row>
    <row r="4" spans="2:16" s="71" customFormat="1" ht="15" x14ac:dyDescent="0.2">
      <c r="B4" s="191" t="s">
        <v>51</v>
      </c>
      <c r="C4" s="191"/>
      <c r="D4" s="191"/>
      <c r="E4" s="191"/>
      <c r="F4" s="191"/>
      <c r="G4" s="191"/>
      <c r="H4" s="191"/>
      <c r="I4" s="191"/>
      <c r="J4" s="80"/>
      <c r="K4" s="77"/>
      <c r="L4" s="77"/>
      <c r="M4" s="77"/>
    </row>
    <row r="6" spans="2:16" x14ac:dyDescent="0.2">
      <c r="B6" s="194" t="s">
        <v>134</v>
      </c>
      <c r="C6" s="194" t="s">
        <v>135</v>
      </c>
      <c r="D6" s="193" t="s">
        <v>38</v>
      </c>
      <c r="E6" s="193"/>
      <c r="F6" s="193"/>
      <c r="G6" s="193"/>
      <c r="H6" s="193"/>
      <c r="I6" s="79"/>
      <c r="J6" s="79"/>
      <c r="K6" s="79"/>
      <c r="L6" s="79"/>
    </row>
    <row r="7" spans="2:16" x14ac:dyDescent="0.2">
      <c r="B7" s="194"/>
      <c r="C7" s="194"/>
      <c r="D7" s="70" t="s">
        <v>40</v>
      </c>
      <c r="E7" s="70" t="s">
        <v>41</v>
      </c>
      <c r="F7" s="70" t="s">
        <v>42</v>
      </c>
      <c r="G7" s="70" t="s">
        <v>43</v>
      </c>
      <c r="H7" s="70" t="s">
        <v>49</v>
      </c>
      <c r="I7" s="70" t="s">
        <v>65</v>
      </c>
      <c r="J7" s="120" t="s">
        <v>61</v>
      </c>
      <c r="K7" s="120" t="s">
        <v>62</v>
      </c>
      <c r="L7" s="120" t="s">
        <v>63</v>
      </c>
    </row>
    <row r="8" spans="2:16" ht="12.75" customHeight="1" x14ac:dyDescent="0.2">
      <c r="D8" s="75"/>
      <c r="E8" s="75"/>
      <c r="F8" s="75"/>
      <c r="G8" s="75"/>
      <c r="H8" s="75"/>
      <c r="I8" s="75"/>
      <c r="J8" s="75"/>
      <c r="K8" s="75"/>
      <c r="L8" s="75"/>
    </row>
    <row r="9" spans="2:16" ht="15" customHeight="1" x14ac:dyDescent="0.25">
      <c r="B9" s="188" t="s">
        <v>115</v>
      </c>
      <c r="C9" s="68" t="s">
        <v>39</v>
      </c>
      <c r="D9" s="128">
        <f>'CAUE LED'!B3</f>
        <v>1500139374.6101565</v>
      </c>
      <c r="E9" s="128">
        <f>'CAUE LED'!B4</f>
        <v>875050000</v>
      </c>
      <c r="F9" s="128">
        <f>'CAUE LED'!B5</f>
        <v>0</v>
      </c>
      <c r="G9" s="128">
        <f>'CAUE LED'!B6</f>
        <v>2375189374.6101565</v>
      </c>
      <c r="H9" s="128">
        <f>'CAUE LED'!B7</f>
        <v>-336940888.76359433</v>
      </c>
      <c r="I9" s="128">
        <f>+'CAOM LED '!H42</f>
        <v>10871264978.526823</v>
      </c>
      <c r="J9" s="128">
        <f>+SUM('CAOM LED '!H39:Q39)</f>
        <v>1627973455.6556938</v>
      </c>
      <c r="K9" s="128">
        <f>+SUM('CAOM LED '!H39:AA39)</f>
        <v>4408787292.2807159</v>
      </c>
      <c r="L9" s="128">
        <f>+'CAOM LED '!G38</f>
        <v>9158819037.0247402</v>
      </c>
      <c r="O9" s="69">
        <v>66061971.110114731</v>
      </c>
      <c r="P9" s="74">
        <v>63286652.858102389</v>
      </c>
    </row>
    <row r="10" spans="2:16" ht="15" customHeight="1" x14ac:dyDescent="0.25">
      <c r="B10" s="189"/>
      <c r="C10" s="68" t="s">
        <v>125</v>
      </c>
      <c r="D10" s="128">
        <f>'CAUE Na'!B3</f>
        <v>3329618385.3265162</v>
      </c>
      <c r="E10" s="128">
        <f>'CAUE Na'!B4</f>
        <v>117986600</v>
      </c>
      <c r="F10" s="128">
        <f>'CAUE Na'!B5</f>
        <v>0</v>
      </c>
      <c r="G10" s="128">
        <f>'CAUE Na'!B6</f>
        <v>3447604985.3265162</v>
      </c>
      <c r="H10" s="128">
        <f>'CAUE Na'!B7</f>
        <v>-489072197.89679998</v>
      </c>
      <c r="I10" s="128">
        <f>+'CAOM Na '!H34</f>
        <v>22593979222.107994</v>
      </c>
      <c r="J10" s="128">
        <f>+SUM('CAOM Na '!H31:Q31)</f>
        <v>3802213057.2805276</v>
      </c>
      <c r="K10" s="128">
        <f>+SUM('CAOM Na '!H31:AA31)</f>
        <v>10296942220.553932</v>
      </c>
      <c r="L10" s="128">
        <f>+'CAOM Na '!G30</f>
        <v>21390877849.30687</v>
      </c>
      <c r="N10" s="58">
        <v>234923526.37505579</v>
      </c>
      <c r="O10" s="69">
        <v>45885106.44874303</v>
      </c>
      <c r="P10" s="74">
        <v>45885106.44874303</v>
      </c>
    </row>
    <row r="11" spans="2:16" ht="15" customHeight="1" x14ac:dyDescent="0.25">
      <c r="B11" s="190"/>
      <c r="C11" s="68" t="s">
        <v>113</v>
      </c>
      <c r="D11" s="128">
        <f>'CAUE CMH'!B3</f>
        <v>3456438231.824862</v>
      </c>
      <c r="E11" s="128">
        <f>'CAUE CMH'!B12</f>
        <v>134614500</v>
      </c>
      <c r="F11" s="128">
        <f>'CAUE CMH'!B5</f>
        <v>0</v>
      </c>
      <c r="G11" s="128">
        <f>'CAUE CMH'!B6</f>
        <v>3591052731.824862</v>
      </c>
      <c r="H11" s="128">
        <f>'CAUE CMH'!B7</f>
        <v>-509421485.2896086</v>
      </c>
      <c r="I11" s="128">
        <f>+'CAOM CMH'!H34</f>
        <v>23361050408.678123</v>
      </c>
      <c r="J11" s="128">
        <f>+SUM('CAOM CMH'!H31:Q31)</f>
        <v>3817535697.8956513</v>
      </c>
      <c r="K11" s="128">
        <f>+SUM('CAOM CMH'!H31:AA31)</f>
        <v>10338438144.823124</v>
      </c>
      <c r="L11" s="128">
        <f>+'CAOM CMH'!G30</f>
        <v>21477081523.006668</v>
      </c>
      <c r="N11" s="58">
        <v>234923526.37505579</v>
      </c>
      <c r="O11" s="69">
        <v>45885106.44874303</v>
      </c>
      <c r="P11" s="74">
        <v>45885106.44874303</v>
      </c>
    </row>
    <row r="12" spans="2:16" ht="12.75" customHeight="1" x14ac:dyDescent="0.2">
      <c r="E12" s="75"/>
      <c r="F12" s="75"/>
      <c r="G12" s="75"/>
      <c r="H12" s="75"/>
      <c r="J12" s="75"/>
      <c r="K12" s="75"/>
      <c r="L12" s="75"/>
      <c r="M12" s="75"/>
    </row>
    <row r="13" spans="2:16" ht="12.75" customHeight="1" x14ac:dyDescent="0.25">
      <c r="E13" s="75"/>
      <c r="F13" s="69" t="s">
        <v>120</v>
      </c>
      <c r="G13" s="75"/>
      <c r="H13" s="129">
        <f>+H9-H10</f>
        <v>152131309.13320565</v>
      </c>
      <c r="I13" s="122">
        <f>H11</f>
        <v>-509421485.2896086</v>
      </c>
      <c r="J13" s="176">
        <v>1</v>
      </c>
      <c r="K13" s="173">
        <f>(I14*J13)/(J13-J14)</f>
        <v>-509421485.2896086</v>
      </c>
      <c r="L13" s="75"/>
      <c r="M13" s="75"/>
    </row>
    <row r="14" spans="2:16" ht="12.75" customHeight="1" x14ac:dyDescent="0.25">
      <c r="E14" s="75"/>
      <c r="F14" s="69" t="s">
        <v>121</v>
      </c>
      <c r="G14" s="75"/>
      <c r="H14" s="129">
        <f>H9-H11</f>
        <v>172480596.52601427</v>
      </c>
      <c r="I14" s="122">
        <f>H9</f>
        <v>-336940888.76359433</v>
      </c>
      <c r="J14" s="153">
        <f>J13-(I14*J13)/I13</f>
        <v>0.33858131528935853</v>
      </c>
      <c r="L14" s="75"/>
      <c r="M14" s="75"/>
    </row>
    <row r="15" spans="2:16" ht="12.75" customHeight="1" x14ac:dyDescent="0.25">
      <c r="E15" s="75"/>
      <c r="F15" s="69" t="s">
        <v>129</v>
      </c>
      <c r="G15" s="75"/>
      <c r="H15" s="175">
        <f>1-(H9/H10)</f>
        <v>0.31106104535778001</v>
      </c>
      <c r="I15" s="122">
        <f>H10</f>
        <v>-489072197.89679998</v>
      </c>
      <c r="J15" s="176">
        <v>1</v>
      </c>
      <c r="K15" s="177">
        <f>(I16*J15)/(J15-J16)</f>
        <v>-489072197.89679998</v>
      </c>
      <c r="L15" s="75"/>
      <c r="M15" s="75"/>
    </row>
    <row r="16" spans="2:16" ht="12.75" customHeight="1" x14ac:dyDescent="0.25">
      <c r="E16" s="75"/>
      <c r="F16" s="69" t="s">
        <v>130</v>
      </c>
      <c r="G16" s="75"/>
      <c r="H16" s="175">
        <f>1-(H9/H11)</f>
        <v>0.33858131528935853</v>
      </c>
      <c r="I16" s="122">
        <f>H9</f>
        <v>-336940888.76359433</v>
      </c>
      <c r="J16" s="153">
        <f>J15-((I16*J15)/I15)</f>
        <v>0.31106104535778001</v>
      </c>
      <c r="L16" s="75"/>
      <c r="M16" s="75"/>
    </row>
    <row r="18" spans="2:33" x14ac:dyDescent="0.2">
      <c r="B18" s="69" t="s">
        <v>53</v>
      </c>
    </row>
    <row r="19" spans="2:33" x14ac:dyDescent="0.2">
      <c r="B19" s="69" t="s">
        <v>54</v>
      </c>
      <c r="G19" s="173"/>
    </row>
    <row r="20" spans="2:33" x14ac:dyDescent="0.2">
      <c r="B20" s="69" t="s">
        <v>55</v>
      </c>
      <c r="H20" s="173"/>
      <c r="I20" s="173"/>
    </row>
    <row r="21" spans="2:33" x14ac:dyDescent="0.2">
      <c r="B21" s="69" t="s">
        <v>56</v>
      </c>
    </row>
    <row r="22" spans="2:33" x14ac:dyDescent="0.2">
      <c r="B22" s="69" t="s">
        <v>59</v>
      </c>
    </row>
    <row r="23" spans="2:33" x14ac:dyDescent="0.2">
      <c r="B23" s="69" t="s">
        <v>117</v>
      </c>
      <c r="C23" s="187">
        <v>0.13900000000000001</v>
      </c>
    </row>
    <row r="24" spans="2:33" x14ac:dyDescent="0.2">
      <c r="B24" s="69" t="s">
        <v>118</v>
      </c>
      <c r="C24" s="69">
        <v>30</v>
      </c>
    </row>
    <row r="25" spans="2:33" x14ac:dyDescent="0.2">
      <c r="B25" s="69" t="s">
        <v>119</v>
      </c>
      <c r="C25" s="155">
        <v>363.22</v>
      </c>
    </row>
    <row r="27" spans="2:33" x14ac:dyDescent="0.2">
      <c r="B27" s="123" t="s">
        <v>73</v>
      </c>
      <c r="C27" s="124">
        <v>0</v>
      </c>
      <c r="D27" s="123">
        <v>1</v>
      </c>
      <c r="E27" s="123">
        <v>2</v>
      </c>
      <c r="F27" s="123">
        <v>3</v>
      </c>
      <c r="G27" s="123">
        <v>4</v>
      </c>
      <c r="H27" s="123">
        <v>5</v>
      </c>
      <c r="I27" s="123">
        <v>6</v>
      </c>
      <c r="J27" s="123">
        <v>7</v>
      </c>
      <c r="K27" s="123">
        <v>8</v>
      </c>
      <c r="L27" s="123">
        <v>9</v>
      </c>
      <c r="M27" s="123">
        <v>10</v>
      </c>
      <c r="N27" s="123">
        <v>11</v>
      </c>
      <c r="O27" s="123">
        <v>12</v>
      </c>
      <c r="P27" s="123">
        <v>13</v>
      </c>
      <c r="Q27" s="123">
        <v>14</v>
      </c>
      <c r="R27" s="123">
        <v>15</v>
      </c>
      <c r="S27" s="123">
        <v>16</v>
      </c>
      <c r="T27" s="123">
        <v>17</v>
      </c>
      <c r="U27" s="123">
        <v>18</v>
      </c>
      <c r="V27" s="123">
        <v>19</v>
      </c>
      <c r="W27" s="123">
        <v>20</v>
      </c>
      <c r="X27" s="123">
        <v>21</v>
      </c>
      <c r="Y27" s="123">
        <v>22</v>
      </c>
      <c r="Z27" s="123">
        <v>23</v>
      </c>
      <c r="AA27" s="123">
        <v>24</v>
      </c>
      <c r="AB27" s="123">
        <v>25</v>
      </c>
      <c r="AC27" s="123">
        <v>26</v>
      </c>
      <c r="AD27" s="123">
        <v>27</v>
      </c>
      <c r="AE27" s="123">
        <v>28</v>
      </c>
      <c r="AF27" s="123">
        <v>29</v>
      </c>
      <c r="AG27" s="123">
        <v>30</v>
      </c>
    </row>
    <row r="28" spans="2:33" ht="26.25" x14ac:dyDescent="0.25">
      <c r="B28" s="125" t="s">
        <v>126</v>
      </c>
      <c r="C28" s="128"/>
      <c r="D28" s="128">
        <f>'CAOM Na '!H33-'CAOM LED '!H41</f>
        <v>168885810.48476598</v>
      </c>
      <c r="E28" s="128">
        <f>'CAOM Na '!I33-'CAOM LED '!I41</f>
        <v>178174267.98142809</v>
      </c>
      <c r="F28" s="128">
        <f>'CAOM Na '!J33-'CAOM LED '!J41</f>
        <v>217843668.75880665</v>
      </c>
      <c r="G28" s="128">
        <f>'CAOM Na '!K33-'CAOM LED '!K41</f>
        <v>198311843.60012493</v>
      </c>
      <c r="H28" s="128">
        <f>'CAOM Na '!L33-'CAOM LED '!L41</f>
        <v>246712779.34819648</v>
      </c>
      <c r="I28" s="128">
        <f>'CAOM Na '!M33-'CAOM LED '!M41</f>
        <v>254325209.45265114</v>
      </c>
      <c r="J28" s="128">
        <f>'CAOM Na '!N33-'CAOM LED '!N41</f>
        <v>232865001.46344277</v>
      </c>
      <c r="K28" s="128">
        <f>'CAOM Na '!O33-'CAOM LED '!O41</f>
        <v>245672244.92912382</v>
      </c>
      <c r="L28" s="128">
        <f>'CAOM Na '!P33-'CAOM LED '!P41</f>
        <v>296979064.71258998</v>
      </c>
      <c r="M28" s="128">
        <f>'CAOM Na '!Q33-'CAOM LED '!Q41</f>
        <v>319055908.11593616</v>
      </c>
      <c r="N28" s="128">
        <f>'CAOM Na '!R33-'CAOM LED '!R41</f>
        <v>288477379.40227783</v>
      </c>
      <c r="O28" s="128">
        <f>'CAOM Na '!S33-'CAOM LED '!S41</f>
        <v>346857697.27171457</v>
      </c>
      <c r="P28" s="128">
        <f>'CAOM Na '!T33-'CAOM LED '!T41</f>
        <v>321081722.46984589</v>
      </c>
      <c r="Q28" s="128">
        <f>'CAOM Na '!U33-'CAOM LED '!U41</f>
        <v>338740797.60716349</v>
      </c>
      <c r="R28" s="128">
        <f>'CAOM Na '!V33-'CAOM LED '!V41</f>
        <v>460694475.70233428</v>
      </c>
      <c r="S28" s="128">
        <f>'CAOM Na '!W33-'CAOM LED '!W41</f>
        <v>-491951453.44091415</v>
      </c>
      <c r="T28" s="128">
        <f>'CAOM Na '!X33-'CAOM LED '!X41</f>
        <v>397762023.45612508</v>
      </c>
      <c r="U28" s="128">
        <f>'CAOM Na '!Y33-'CAOM LED '!Y41</f>
        <v>473432785.95125473</v>
      </c>
      <c r="V28" s="128">
        <f>'CAOM Na '!Z33-'CAOM LED '!Z41</f>
        <v>442718047.78266585</v>
      </c>
      <c r="W28" s="128">
        <f>'CAOM Na '!AA33-'CAOM LED '!AA41</f>
        <v>534591727.83283842</v>
      </c>
      <c r="X28" s="128">
        <f>'CAOM Na '!AB33-'CAOM LED '!AB41</f>
        <v>553266461.64828908</v>
      </c>
      <c r="Y28" s="128">
        <f>'CAOM Na '!AC33-'CAOM LED '!AC41</f>
        <v>519856101.45017856</v>
      </c>
      <c r="Z28" s="128">
        <f>'CAOM Na '!AD33-'CAOM LED '!AD41</f>
        <v>548447589.81040287</v>
      </c>
      <c r="AA28" s="128">
        <f>'CAOM Na '!AE33-'CAOM LED '!AE41</f>
        <v>646678590.25785971</v>
      </c>
      <c r="AB28" s="128">
        <f>'CAOM Na '!AF33-'CAOM LED '!AF41</f>
        <v>692588721.98878026</v>
      </c>
      <c r="AC28" s="128">
        <f>'CAOM Na '!AG33-'CAOM LED '!AG41</f>
        <v>644007807.39451814</v>
      </c>
      <c r="AD28" s="128">
        <f>'CAOM Na '!AH33-'CAOM LED '!AH41</f>
        <v>755993660.6569978</v>
      </c>
      <c r="AE28" s="128">
        <f>'CAOM Na '!AI33-'CAOM LED '!AI41</f>
        <v>716795326.12758541</v>
      </c>
      <c r="AF28" s="128">
        <f>'CAOM Na '!AJ33-'CAOM LED '!AJ41</f>
        <v>756218313.39136589</v>
      </c>
      <c r="AG28" s="128">
        <f>'CAOM Na '!AK33-'CAOM LED '!AK41</f>
        <v>983889087.9935236</v>
      </c>
    </row>
    <row r="29" spans="2:33" ht="26.25" x14ac:dyDescent="0.25">
      <c r="B29" s="125" t="s">
        <v>74</v>
      </c>
      <c r="C29" s="128">
        <f>+E10-E9</f>
        <v>-757063400</v>
      </c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</row>
    <row r="30" spans="2:33" ht="26.25" x14ac:dyDescent="0.25">
      <c r="B30" s="125" t="s">
        <v>128</v>
      </c>
      <c r="C30" s="128"/>
      <c r="D30" s="128">
        <f>C29+D28</f>
        <v>-588177589.51523399</v>
      </c>
      <c r="E30" s="128">
        <f>+D30+E28</f>
        <v>-410003321.53380591</v>
      </c>
      <c r="F30" s="128">
        <f t="shared" ref="F30:AG30" si="0">+E30+F28</f>
        <v>-192159652.77499926</v>
      </c>
      <c r="G30" s="128">
        <f t="shared" si="0"/>
        <v>6152190.8251256645</v>
      </c>
      <c r="H30" s="128">
        <f t="shared" si="0"/>
        <v>252864970.17332214</v>
      </c>
      <c r="I30" s="128">
        <f t="shared" si="0"/>
        <v>507190179.62597328</v>
      </c>
      <c r="J30" s="128">
        <f t="shared" si="0"/>
        <v>740055181.08941603</v>
      </c>
      <c r="K30" s="128">
        <f t="shared" si="0"/>
        <v>985727426.01853991</v>
      </c>
      <c r="L30" s="128">
        <f t="shared" si="0"/>
        <v>1282706490.7311299</v>
      </c>
      <c r="M30" s="128">
        <f t="shared" si="0"/>
        <v>1601762398.8470659</v>
      </c>
      <c r="N30" s="128">
        <f t="shared" si="0"/>
        <v>1890239778.2493439</v>
      </c>
      <c r="O30" s="128">
        <f t="shared" si="0"/>
        <v>2237097475.5210586</v>
      </c>
      <c r="P30" s="128">
        <f t="shared" si="0"/>
        <v>2558179197.9909043</v>
      </c>
      <c r="Q30" s="128">
        <f t="shared" si="0"/>
        <v>2896919995.5980678</v>
      </c>
      <c r="R30" s="128">
        <f t="shared" si="0"/>
        <v>3357614471.3004022</v>
      </c>
      <c r="S30" s="128">
        <f t="shared" si="0"/>
        <v>2865663017.859488</v>
      </c>
      <c r="T30" s="128">
        <f t="shared" si="0"/>
        <v>3263425041.3156133</v>
      </c>
      <c r="U30" s="128">
        <f t="shared" si="0"/>
        <v>3736857827.2668681</v>
      </c>
      <c r="V30" s="128">
        <f t="shared" si="0"/>
        <v>4179575875.0495338</v>
      </c>
      <c r="W30" s="128">
        <f t="shared" si="0"/>
        <v>4714167602.8823719</v>
      </c>
      <c r="X30" s="128">
        <f t="shared" si="0"/>
        <v>5267434064.5306606</v>
      </c>
      <c r="Y30" s="128">
        <f t="shared" si="0"/>
        <v>5787290165.9808388</v>
      </c>
      <c r="Z30" s="128">
        <f t="shared" si="0"/>
        <v>6335737755.7912416</v>
      </c>
      <c r="AA30" s="128">
        <f t="shared" si="0"/>
        <v>6982416346.0491009</v>
      </c>
      <c r="AB30" s="128">
        <f t="shared" si="0"/>
        <v>7675005068.0378809</v>
      </c>
      <c r="AC30" s="128">
        <f t="shared" si="0"/>
        <v>8319012875.4323988</v>
      </c>
      <c r="AD30" s="128">
        <f t="shared" si="0"/>
        <v>9075006536.0893974</v>
      </c>
      <c r="AE30" s="128">
        <f t="shared" si="0"/>
        <v>9791801862.2169838</v>
      </c>
      <c r="AF30" s="128">
        <f t="shared" si="0"/>
        <v>10548020175.608349</v>
      </c>
      <c r="AG30" s="128">
        <f t="shared" si="0"/>
        <v>11531909263.601871</v>
      </c>
    </row>
    <row r="31" spans="2:33" x14ac:dyDescent="0.2">
      <c r="B31" s="126" t="s">
        <v>72</v>
      </c>
      <c r="C31" s="123">
        <f>SUM(E31:AG31)</f>
        <v>4</v>
      </c>
      <c r="D31" s="68" t="str">
        <f>IF(SIGN(D30)&lt;&gt;SIGN(C29),D27,"")</f>
        <v/>
      </c>
      <c r="E31" s="68" t="str">
        <f>IF(SIGN(D30)&lt;&gt;SIGN(C29),E27,"")</f>
        <v/>
      </c>
      <c r="F31" s="68" t="str">
        <f>IF(SIGN(F30)&lt;&gt;SIGN(D30),F27,"")</f>
        <v/>
      </c>
      <c r="G31" s="68">
        <f t="shared" ref="G31:AG31" si="1">IF(SIGN(G30)&lt;&gt;SIGN(F30),G27,"")</f>
        <v>4</v>
      </c>
      <c r="H31" s="68" t="str">
        <f t="shared" si="1"/>
        <v/>
      </c>
      <c r="I31" s="68" t="str">
        <f t="shared" si="1"/>
        <v/>
      </c>
      <c r="J31" s="68" t="str">
        <f t="shared" si="1"/>
        <v/>
      </c>
      <c r="K31" s="68" t="str">
        <f t="shared" si="1"/>
        <v/>
      </c>
      <c r="L31" s="68" t="str">
        <f t="shared" si="1"/>
        <v/>
      </c>
      <c r="M31" s="68" t="str">
        <f t="shared" si="1"/>
        <v/>
      </c>
      <c r="N31" s="68" t="str">
        <f t="shared" si="1"/>
        <v/>
      </c>
      <c r="O31" s="68" t="str">
        <f t="shared" si="1"/>
        <v/>
      </c>
      <c r="P31" s="68" t="str">
        <f t="shared" si="1"/>
        <v/>
      </c>
      <c r="Q31" s="68" t="str">
        <f t="shared" si="1"/>
        <v/>
      </c>
      <c r="R31" s="68" t="str">
        <f t="shared" si="1"/>
        <v/>
      </c>
      <c r="S31" s="68" t="str">
        <f t="shared" si="1"/>
        <v/>
      </c>
      <c r="T31" s="68" t="str">
        <f t="shared" si="1"/>
        <v/>
      </c>
      <c r="U31" s="68" t="str">
        <f t="shared" si="1"/>
        <v/>
      </c>
      <c r="V31" s="68" t="str">
        <f t="shared" si="1"/>
        <v/>
      </c>
      <c r="W31" s="68" t="str">
        <f t="shared" si="1"/>
        <v/>
      </c>
      <c r="X31" s="68" t="str">
        <f t="shared" si="1"/>
        <v/>
      </c>
      <c r="Y31" s="68" t="str">
        <f t="shared" si="1"/>
        <v/>
      </c>
      <c r="Z31" s="68" t="str">
        <f t="shared" si="1"/>
        <v/>
      </c>
      <c r="AA31" s="68" t="str">
        <f t="shared" si="1"/>
        <v/>
      </c>
      <c r="AB31" s="68" t="str">
        <f t="shared" si="1"/>
        <v/>
      </c>
      <c r="AC31" s="68" t="str">
        <f t="shared" si="1"/>
        <v/>
      </c>
      <c r="AD31" s="68" t="str">
        <f t="shared" si="1"/>
        <v/>
      </c>
      <c r="AE31" s="68" t="str">
        <f t="shared" si="1"/>
        <v/>
      </c>
      <c r="AF31" s="68" t="str">
        <f t="shared" si="1"/>
        <v/>
      </c>
      <c r="AG31" s="68" t="str">
        <f t="shared" si="1"/>
        <v/>
      </c>
    </row>
    <row r="34" spans="2:33" x14ac:dyDescent="0.2">
      <c r="B34" s="123" t="s">
        <v>73</v>
      </c>
      <c r="C34" s="124">
        <v>0</v>
      </c>
      <c r="D34" s="123">
        <v>1</v>
      </c>
      <c r="E34" s="123">
        <v>2</v>
      </c>
      <c r="F34" s="123">
        <v>3</v>
      </c>
      <c r="G34" s="123">
        <v>4</v>
      </c>
      <c r="H34" s="123">
        <v>5</v>
      </c>
      <c r="I34" s="123">
        <v>6</v>
      </c>
      <c r="J34" s="123">
        <v>7</v>
      </c>
      <c r="K34" s="123">
        <v>8</v>
      </c>
      <c r="L34" s="123">
        <v>9</v>
      </c>
      <c r="M34" s="123">
        <v>10</v>
      </c>
      <c r="N34" s="123">
        <v>11</v>
      </c>
      <c r="O34" s="123">
        <v>12</v>
      </c>
      <c r="P34" s="123">
        <v>13</v>
      </c>
      <c r="Q34" s="123">
        <v>14</v>
      </c>
      <c r="R34" s="123">
        <v>15</v>
      </c>
      <c r="S34" s="123">
        <v>16</v>
      </c>
      <c r="T34" s="123">
        <v>17</v>
      </c>
      <c r="U34" s="123">
        <v>18</v>
      </c>
      <c r="V34" s="123">
        <v>19</v>
      </c>
      <c r="W34" s="123">
        <v>20</v>
      </c>
      <c r="X34" s="123">
        <v>21</v>
      </c>
      <c r="Y34" s="123">
        <v>22</v>
      </c>
      <c r="Z34" s="123">
        <v>23</v>
      </c>
      <c r="AA34" s="123">
        <v>24</v>
      </c>
      <c r="AB34" s="123">
        <v>25</v>
      </c>
      <c r="AC34" s="123">
        <v>26</v>
      </c>
      <c r="AD34" s="123">
        <v>27</v>
      </c>
      <c r="AE34" s="123">
        <v>28</v>
      </c>
      <c r="AF34" s="123">
        <v>29</v>
      </c>
      <c r="AG34" s="123">
        <v>30</v>
      </c>
    </row>
    <row r="35" spans="2:33" ht="26.25" x14ac:dyDescent="0.25">
      <c r="B35" s="125" t="s">
        <v>127</v>
      </c>
      <c r="C35" s="128"/>
      <c r="D35" s="128">
        <f>'CAOM CMH'!H33-'CAOM LED '!H41</f>
        <v>170064965.79198673</v>
      </c>
      <c r="E35" s="128">
        <f>'CAOM CMH'!I33-'CAOM LED '!I41</f>
        <v>225270709.43054599</v>
      </c>
      <c r="F35" s="128">
        <f>'CAOM CMH'!J33-'CAOM LED '!J41</f>
        <v>189286352.65402603</v>
      </c>
      <c r="G35" s="128">
        <f>'CAOM CMH'!K33-'CAOM LED '!K41</f>
        <v>249290809.68442944</v>
      </c>
      <c r="H35" s="128">
        <f>'CAOM CMH'!L33-'CAOM LED '!L41</f>
        <v>246876860.46428713</v>
      </c>
      <c r="I35" s="128">
        <f>'CAOM CMH'!M33-'CAOM LED '!M41</f>
        <v>275908186.24046057</v>
      </c>
      <c r="J35" s="128">
        <f>'CAOM CMH'!N33-'CAOM LED '!N41</f>
        <v>234492110.9566271</v>
      </c>
      <c r="K35" s="128">
        <f>'CAOM CMH'!O33-'CAOM LED '!O41</f>
        <v>305406800.45751923</v>
      </c>
      <c r="L35" s="128">
        <f>'CAOM CMH'!P33-'CAOM LED '!P41</f>
        <v>260995321.27261606</v>
      </c>
      <c r="M35" s="128">
        <f>'CAOM CMH'!Q33-'CAOM LED '!Q41</f>
        <v>382140673.13079274</v>
      </c>
      <c r="N35" s="128">
        <f>'CAOM CMH'!R33-'CAOM LED '!R41</f>
        <v>290494035.67573905</v>
      </c>
      <c r="O35" s="128">
        <f>'CAOM CMH'!S33-'CAOM LED '!S41</f>
        <v>374343621.00123608</v>
      </c>
      <c r="P35" s="128">
        <f>'CAOM CMH'!T33-'CAOM LED '!T41</f>
        <v>323326819.28072405</v>
      </c>
      <c r="Q35" s="128">
        <f>'CAOM CMH'!U33-'CAOM LED '!U41</f>
        <v>414520596.63494319</v>
      </c>
      <c r="R35" s="128">
        <f>'CAOM CMH'!V33-'CAOM LED '!V41</f>
        <v>413450373.61517382</v>
      </c>
      <c r="S35" s="128">
        <f>'CAOM CMH'!W33-'CAOM LED '!W41</f>
        <v>-438929423.40344834</v>
      </c>
      <c r="T35" s="128">
        <f>'CAOM CMH'!X33-'CAOM LED '!X41</f>
        <v>400544510.48138982</v>
      </c>
      <c r="U35" s="128">
        <f>'CAOM CMH'!Y33-'CAOM LED '!Y41</f>
        <v>508454714.01771164</v>
      </c>
      <c r="V35" s="128">
        <f>'CAOM CMH'!Z33-'CAOM LED '!Z41</f>
        <v>445815668.13807857</v>
      </c>
      <c r="W35" s="128">
        <f>'CAOM CMH'!AA33-'CAOM LED '!AA41</f>
        <v>628411718.81942904</v>
      </c>
      <c r="X35" s="128">
        <f>'CAOM CMH'!AB33-'CAOM LED '!AB41</f>
        <v>496203566.92065215</v>
      </c>
      <c r="Y35" s="128">
        <f>'CAOM CMH'!AC33-'CAOM LED '!AC41</f>
        <v>623962515.08597493</v>
      </c>
      <c r="Z35" s="128">
        <f>'CAOM CMH'!AD33-'CAOM LED '!AD41</f>
        <v>552286523.92705345</v>
      </c>
      <c r="AA35" s="128">
        <f>'CAOM CMH'!AE33-'CAOM LED '!AE41</f>
        <v>691328203.28967881</v>
      </c>
      <c r="AB35" s="128">
        <f>'CAOM CMH'!AF33-'CAOM LED '!AF41</f>
        <v>694019517.03376961</v>
      </c>
      <c r="AC35" s="128">
        <f>'CAOM CMH'!AG33-'CAOM LED '!AG41</f>
        <v>766050232.11739302</v>
      </c>
      <c r="AD35" s="128">
        <f>'CAOM CMH'!AH33-'CAOM LED '!AH41</f>
        <v>684185089.16351593</v>
      </c>
      <c r="AE35" s="128">
        <f>'CAOM CMH'!AI33-'CAOM LED '!AI41</f>
        <v>848939026.39927292</v>
      </c>
      <c r="AF35" s="128">
        <f>'CAOM CMH'!AJ33-'CAOM LED '!AJ41</f>
        <v>761514538.02411973</v>
      </c>
      <c r="AG35" s="128">
        <f>'CAOM CMH'!AK33-'CAOM LED '!AK41</f>
        <v>1037389212.8663113</v>
      </c>
    </row>
    <row r="36" spans="2:33" ht="26.25" x14ac:dyDescent="0.25">
      <c r="B36" s="125" t="s">
        <v>116</v>
      </c>
      <c r="C36" s="128">
        <f>+E11-E9</f>
        <v>-740435500</v>
      </c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  <c r="AA36" s="128"/>
      <c r="AB36" s="128"/>
      <c r="AC36" s="128"/>
      <c r="AD36" s="128"/>
      <c r="AE36" s="128"/>
      <c r="AF36" s="128"/>
      <c r="AG36" s="128"/>
    </row>
    <row r="37" spans="2:33" ht="26.25" x14ac:dyDescent="0.25">
      <c r="B37" s="125" t="s">
        <v>128</v>
      </c>
      <c r="C37" s="128"/>
      <c r="D37" s="128">
        <f>C36+D35</f>
        <v>-570370534.2080133</v>
      </c>
      <c r="E37" s="128">
        <f>+D37+E35</f>
        <v>-345099824.77746731</v>
      </c>
      <c r="F37" s="128">
        <f t="shared" ref="F37" si="2">+E37+F35</f>
        <v>-155813472.12344128</v>
      </c>
      <c r="G37" s="128">
        <f t="shared" ref="G37" si="3">+F37+G35</f>
        <v>93477337.560988158</v>
      </c>
      <c r="H37" s="128">
        <f t="shared" ref="H37" si="4">+G37+H35</f>
        <v>340354198.02527529</v>
      </c>
      <c r="I37" s="128">
        <f t="shared" ref="I37" si="5">+H37+I35</f>
        <v>616262384.26573586</v>
      </c>
      <c r="J37" s="128">
        <f t="shared" ref="J37" si="6">+I37+J35</f>
        <v>850754495.222363</v>
      </c>
      <c r="K37" s="128">
        <f t="shared" ref="K37" si="7">+J37+K35</f>
        <v>1156161295.6798823</v>
      </c>
      <c r="L37" s="128">
        <f t="shared" ref="L37" si="8">+K37+L35</f>
        <v>1417156616.9524984</v>
      </c>
      <c r="M37" s="128">
        <f t="shared" ref="M37" si="9">+L37+M35</f>
        <v>1799297290.0832911</v>
      </c>
      <c r="N37" s="128">
        <f t="shared" ref="N37" si="10">+M37+N35</f>
        <v>2089791325.7590301</v>
      </c>
      <c r="O37" s="128">
        <f t="shared" ref="O37" si="11">+N37+O35</f>
        <v>2464134946.7602663</v>
      </c>
      <c r="P37" s="128">
        <f t="shared" ref="P37" si="12">+O37+P35</f>
        <v>2787461766.0409904</v>
      </c>
      <c r="Q37" s="128">
        <f t="shared" ref="Q37" si="13">+P37+Q35</f>
        <v>3201982362.6759334</v>
      </c>
      <c r="R37" s="128">
        <f t="shared" ref="R37" si="14">+Q37+R35</f>
        <v>3615432736.2911072</v>
      </c>
      <c r="S37" s="128">
        <f t="shared" ref="S37" si="15">+R37+S35</f>
        <v>3176503312.8876591</v>
      </c>
      <c r="T37" s="128">
        <f t="shared" ref="T37" si="16">+S37+T35</f>
        <v>3577047823.3690491</v>
      </c>
      <c r="U37" s="128">
        <f t="shared" ref="U37" si="17">+T37+U35</f>
        <v>4085502537.3867607</v>
      </c>
      <c r="V37" s="128">
        <f t="shared" ref="V37" si="18">+U37+V35</f>
        <v>4531318205.5248394</v>
      </c>
      <c r="W37" s="128">
        <f t="shared" ref="W37" si="19">+V37+W35</f>
        <v>5159729924.3442688</v>
      </c>
      <c r="X37" s="128">
        <f t="shared" ref="X37" si="20">+W37+X35</f>
        <v>5655933491.2649212</v>
      </c>
      <c r="Y37" s="128">
        <f t="shared" ref="Y37" si="21">+X37+Y35</f>
        <v>6279896006.3508959</v>
      </c>
      <c r="Z37" s="128">
        <f t="shared" ref="Z37" si="22">+Y37+Z35</f>
        <v>6832182530.2779493</v>
      </c>
      <c r="AA37" s="128">
        <f t="shared" ref="AA37" si="23">+Z37+AA35</f>
        <v>7523510733.5676279</v>
      </c>
      <c r="AB37" s="128">
        <f t="shared" ref="AB37" si="24">+AA37+AB35</f>
        <v>8217530250.6013975</v>
      </c>
      <c r="AC37" s="128">
        <f t="shared" ref="AC37" si="25">+AB37+AC35</f>
        <v>8983580482.7187901</v>
      </c>
      <c r="AD37" s="128">
        <f t="shared" ref="AD37" si="26">+AC37+AD35</f>
        <v>9667765571.8823051</v>
      </c>
      <c r="AE37" s="128">
        <f t="shared" ref="AE37" si="27">+AD37+AE35</f>
        <v>10516704598.281578</v>
      </c>
      <c r="AF37" s="128">
        <f t="shared" ref="AF37" si="28">+AE37+AF35</f>
        <v>11278219136.305698</v>
      </c>
      <c r="AG37" s="128">
        <f t="shared" ref="AG37" si="29">+AF37+AG35</f>
        <v>12315608349.17201</v>
      </c>
    </row>
    <row r="38" spans="2:33" x14ac:dyDescent="0.2">
      <c r="B38" s="126" t="s">
        <v>72</v>
      </c>
      <c r="C38" s="123">
        <f>SUM(E38:AG38)</f>
        <v>4</v>
      </c>
      <c r="D38" s="68" t="str">
        <f>IF(SIGN(D37)&lt;&gt;SIGN(C36),D34,"")</f>
        <v/>
      </c>
      <c r="E38" s="68" t="str">
        <f>IF(SIGN(D37)&lt;&gt;SIGN(C36),E34,"")</f>
        <v/>
      </c>
      <c r="F38" s="68" t="str">
        <f>IF(SIGN(F37)&lt;&gt;SIGN(D37),F34,"")</f>
        <v/>
      </c>
      <c r="G38" s="68">
        <f t="shared" ref="G38" si="30">IF(SIGN(G37)&lt;&gt;SIGN(F37),G34,"")</f>
        <v>4</v>
      </c>
      <c r="H38" s="68" t="str">
        <f t="shared" ref="H38" si="31">IF(SIGN(H37)&lt;&gt;SIGN(G37),H34,"")</f>
        <v/>
      </c>
      <c r="I38" s="68" t="str">
        <f t="shared" ref="I38" si="32">IF(SIGN(I37)&lt;&gt;SIGN(H37),I34,"")</f>
        <v/>
      </c>
      <c r="J38" s="68" t="str">
        <f t="shared" ref="J38" si="33">IF(SIGN(J37)&lt;&gt;SIGN(I37),J34,"")</f>
        <v/>
      </c>
      <c r="K38" s="68" t="str">
        <f t="shared" ref="K38" si="34">IF(SIGN(K37)&lt;&gt;SIGN(J37),K34,"")</f>
        <v/>
      </c>
      <c r="L38" s="68" t="str">
        <f t="shared" ref="L38" si="35">IF(SIGN(L37)&lt;&gt;SIGN(K37),L34,"")</f>
        <v/>
      </c>
      <c r="M38" s="68" t="str">
        <f t="shared" ref="M38" si="36">IF(SIGN(M37)&lt;&gt;SIGN(L37),M34,"")</f>
        <v/>
      </c>
      <c r="N38" s="68" t="str">
        <f t="shared" ref="N38" si="37">IF(SIGN(N37)&lt;&gt;SIGN(M37),N34,"")</f>
        <v/>
      </c>
      <c r="O38" s="68" t="str">
        <f t="shared" ref="O38" si="38">IF(SIGN(O37)&lt;&gt;SIGN(N37),O34,"")</f>
        <v/>
      </c>
      <c r="P38" s="68" t="str">
        <f t="shared" ref="P38" si="39">IF(SIGN(P37)&lt;&gt;SIGN(O37),P34,"")</f>
        <v/>
      </c>
      <c r="Q38" s="68" t="str">
        <f t="shared" ref="Q38" si="40">IF(SIGN(Q37)&lt;&gt;SIGN(P37),Q34,"")</f>
        <v/>
      </c>
      <c r="R38" s="68" t="str">
        <f t="shared" ref="R38" si="41">IF(SIGN(R37)&lt;&gt;SIGN(Q37),R34,"")</f>
        <v/>
      </c>
      <c r="S38" s="68" t="str">
        <f t="shared" ref="S38" si="42">IF(SIGN(S37)&lt;&gt;SIGN(R37),S34,"")</f>
        <v/>
      </c>
      <c r="T38" s="68" t="str">
        <f t="shared" ref="T38" si="43">IF(SIGN(T37)&lt;&gt;SIGN(S37),T34,"")</f>
        <v/>
      </c>
      <c r="U38" s="68" t="str">
        <f t="shared" ref="U38" si="44">IF(SIGN(U37)&lt;&gt;SIGN(T37),U34,"")</f>
        <v/>
      </c>
      <c r="V38" s="68" t="str">
        <f t="shared" ref="V38" si="45">IF(SIGN(V37)&lt;&gt;SIGN(U37),V34,"")</f>
        <v/>
      </c>
      <c r="W38" s="68" t="str">
        <f t="shared" ref="W38" si="46">IF(SIGN(W37)&lt;&gt;SIGN(V37),W34,"")</f>
        <v/>
      </c>
      <c r="X38" s="68" t="str">
        <f t="shared" ref="X38" si="47">IF(SIGN(X37)&lt;&gt;SIGN(W37),X34,"")</f>
        <v/>
      </c>
      <c r="Y38" s="68" t="str">
        <f t="shared" ref="Y38" si="48">IF(SIGN(Y37)&lt;&gt;SIGN(X37),Y34,"")</f>
        <v/>
      </c>
      <c r="Z38" s="68" t="str">
        <f t="shared" ref="Z38" si="49">IF(SIGN(Z37)&lt;&gt;SIGN(Y37),Z34,"")</f>
        <v/>
      </c>
      <c r="AA38" s="68" t="str">
        <f t="shared" ref="AA38" si="50">IF(SIGN(AA37)&lt;&gt;SIGN(Z37),AA34,"")</f>
        <v/>
      </c>
      <c r="AB38" s="68" t="str">
        <f t="shared" ref="AB38" si="51">IF(SIGN(AB37)&lt;&gt;SIGN(AA37),AB34,"")</f>
        <v/>
      </c>
      <c r="AC38" s="68" t="str">
        <f t="shared" ref="AC38" si="52">IF(SIGN(AC37)&lt;&gt;SIGN(AB37),AC34,"")</f>
        <v/>
      </c>
      <c r="AD38" s="68" t="str">
        <f t="shared" ref="AD38" si="53">IF(SIGN(AD37)&lt;&gt;SIGN(AC37),AD34,"")</f>
        <v/>
      </c>
      <c r="AE38" s="68" t="str">
        <f t="shared" ref="AE38" si="54">IF(SIGN(AE37)&lt;&gt;SIGN(AD37),AE34,"")</f>
        <v/>
      </c>
      <c r="AF38" s="68" t="str">
        <f t="shared" ref="AF38" si="55">IF(SIGN(AF37)&lt;&gt;SIGN(AE37),AF34,"")</f>
        <v/>
      </c>
      <c r="AG38" s="68" t="str">
        <f t="shared" ref="AG38" si="56">IF(SIGN(AG37)&lt;&gt;SIGN(AF37),AG34,"")</f>
        <v/>
      </c>
    </row>
    <row r="42" spans="2:33" x14ac:dyDescent="0.2">
      <c r="C42" s="69" t="s">
        <v>131</v>
      </c>
      <c r="D42" s="69">
        <f>'CAOM LED '!H41</f>
        <v>127751465.80913809</v>
      </c>
      <c r="E42" s="69">
        <f>'CAOM LED '!I41</f>
        <v>134758140.42864066</v>
      </c>
      <c r="F42" s="69">
        <f>'CAOM LED '!J41</f>
        <v>142149395.91221589</v>
      </c>
      <c r="G42" s="69">
        <f>'CAOM LED '!K41</f>
        <v>149946352.75778779</v>
      </c>
      <c r="H42" s="69">
        <f>'CAOM LED '!L41</f>
        <v>158171291.8326821</v>
      </c>
      <c r="I42" s="69">
        <f>'CAOM LED '!M41</f>
        <v>166847718.14362425</v>
      </c>
      <c r="J42" s="69">
        <f>'CAOM LED '!N41</f>
        <v>176000428.11207399</v>
      </c>
      <c r="K42" s="69">
        <f>'CAOM LED '!O41</f>
        <v>185655580.54761052</v>
      </c>
      <c r="L42" s="69">
        <f>'CAOM LED '!P41</f>
        <v>195840771.52267644</v>
      </c>
      <c r="M42" s="69">
        <f>'CAOM LED '!Q41</f>
        <v>206585113.36316884</v>
      </c>
      <c r="N42" s="69">
        <f>'CAOM LED '!R41</f>
        <v>217919317.98115817</v>
      </c>
      <c r="O42" s="69">
        <f>'CAOM LED '!S41</f>
        <v>229875784.78845748</v>
      </c>
      <c r="P42" s="69">
        <f>'CAOM LED '!T41</f>
        <v>242488693.44289172</v>
      </c>
      <c r="Q42" s="69">
        <f>'CAOM LED '!U41</f>
        <v>255794101.69296259</v>
      </c>
      <c r="R42" s="69">
        <f>'CAOM LED '!V41</f>
        <v>269830048.60121584</v>
      </c>
      <c r="S42" s="69">
        <f>'CAOM LED '!W41</f>
        <v>1357330482.4949069</v>
      </c>
      <c r="T42" s="69">
        <f>'CAOM LED '!X41</f>
        <v>300256280.58579594</v>
      </c>
      <c r="U42" s="69">
        <f>'CAOM LED '!Y41</f>
        <v>316733560.69864869</v>
      </c>
      <c r="V42" s="69">
        <f>'CAOM LED '!Z41</f>
        <v>334115618.60493374</v>
      </c>
      <c r="W42" s="69">
        <f>'CAOM LED '!AA41</f>
        <v>352452158.17877877</v>
      </c>
      <c r="X42" s="69">
        <f>'CAOM LED '!AB41</f>
        <v>371795614.65120828</v>
      </c>
      <c r="Y42" s="69">
        <f>'CAOM LED '!AC41</f>
        <v>392201304.74052519</v>
      </c>
      <c r="Z42" s="69">
        <f>'CAOM LED '!AD41</f>
        <v>413727585.03609461</v>
      </c>
      <c r="AA42" s="69">
        <f>'CAOM LED '!AE41</f>
        <v>436436019.08931404</v>
      </c>
      <c r="AB42" s="69">
        <f>'CAOM LED '!AF41</f>
        <v>460391553.6905098</v>
      </c>
      <c r="AC42" s="69">
        <f>'CAOM LED '!AG41</f>
        <v>485662704.83682275</v>
      </c>
      <c r="AD42" s="69">
        <f>'CAOM LED '!AH41</f>
        <v>512321753.92391622</v>
      </c>
      <c r="AE42" s="69">
        <f>'CAOM LED '!AI41</f>
        <v>540444954.72364259</v>
      </c>
      <c r="AF42" s="69">
        <f>'CAOM LED '!AJ41</f>
        <v>570112751.74071038</v>
      </c>
      <c r="AG42" s="69">
        <f>'CAOM LED '!AK41</f>
        <v>601410010.57400751</v>
      </c>
    </row>
    <row r="43" spans="2:33" x14ac:dyDescent="0.2">
      <c r="C43" s="69" t="s">
        <v>132</v>
      </c>
      <c r="D43" s="69">
        <f>'CAOM CMH'!H33</f>
        <v>297816431.60112482</v>
      </c>
      <c r="E43" s="69">
        <f>'CAOM CMH'!I33</f>
        <v>360028849.85918665</v>
      </c>
      <c r="F43" s="69">
        <f>'CAOM CMH'!J33</f>
        <v>331435748.56624192</v>
      </c>
      <c r="G43" s="69">
        <f>'CAOM CMH'!K33</f>
        <v>399237162.44221723</v>
      </c>
      <c r="H43" s="69">
        <f>'CAOM CMH'!L33</f>
        <v>405048152.29696923</v>
      </c>
      <c r="I43" s="69">
        <f>'CAOM CMH'!M33</f>
        <v>442755904.38408482</v>
      </c>
      <c r="J43" s="69">
        <f>'CAOM CMH'!N33</f>
        <v>410492539.06870109</v>
      </c>
      <c r="K43" s="69">
        <f>'CAOM CMH'!O33</f>
        <v>491062381.00512975</v>
      </c>
      <c r="L43" s="69">
        <f>'CAOM CMH'!P33</f>
        <v>456836092.7952925</v>
      </c>
      <c r="M43" s="69">
        <f>'CAOM CMH'!Q33</f>
        <v>588725786.49396157</v>
      </c>
      <c r="N43" s="69">
        <f>'CAOM CMH'!R33</f>
        <v>508413353.65689725</v>
      </c>
      <c r="O43" s="69">
        <f>'CAOM CMH'!S33</f>
        <v>604219405.78969359</v>
      </c>
      <c r="P43" s="69">
        <f>'CAOM CMH'!T33</f>
        <v>565815512.72361577</v>
      </c>
      <c r="Q43" s="69">
        <f>'CAOM CMH'!U33</f>
        <v>670314698.32790577</v>
      </c>
      <c r="R43" s="69">
        <f>'CAOM CMH'!V33</f>
        <v>683280422.21638966</v>
      </c>
      <c r="S43" s="69">
        <f>'CAOM CMH'!W33</f>
        <v>918401059.09145856</v>
      </c>
      <c r="T43" s="69">
        <f>'CAOM CMH'!X33</f>
        <v>700800791.06718576</v>
      </c>
      <c r="U43" s="69">
        <f>'CAOM CMH'!Y33</f>
        <v>825188274.71636033</v>
      </c>
      <c r="V43" s="69">
        <f>'CAOM CMH'!Z33</f>
        <v>779931286.74301231</v>
      </c>
      <c r="W43" s="69">
        <f>'CAOM CMH'!AA33</f>
        <v>980863876.99820781</v>
      </c>
      <c r="X43" s="69">
        <f>'CAOM CMH'!AB33</f>
        <v>867999181.57186043</v>
      </c>
      <c r="Y43" s="69">
        <f>'CAOM CMH'!AC33</f>
        <v>1016163819.8265001</v>
      </c>
      <c r="Z43" s="69">
        <f>'CAOM CMH'!AD33</f>
        <v>966014108.96314812</v>
      </c>
      <c r="AA43" s="69">
        <f>'CAOM CMH'!AE33</f>
        <v>1127764222.3789928</v>
      </c>
      <c r="AB43" s="69">
        <f>'CAOM CMH'!AF33</f>
        <v>1154411070.7242794</v>
      </c>
      <c r="AC43" s="69">
        <f>'CAOM CMH'!AG33</f>
        <v>1251712936.9542158</v>
      </c>
      <c r="AD43" s="69">
        <f>'CAOM CMH'!AH33</f>
        <v>1196506843.0874321</v>
      </c>
      <c r="AE43" s="69">
        <f>'CAOM CMH'!AI33</f>
        <v>1389383981.1229155</v>
      </c>
      <c r="AF43" s="69">
        <f>'CAOM CMH'!AJ33</f>
        <v>1331627289.7648301</v>
      </c>
      <c r="AG43" s="69">
        <f>'CAOM CMH'!AK33</f>
        <v>1638799223.4403188</v>
      </c>
    </row>
    <row r="44" spans="2:33" x14ac:dyDescent="0.2">
      <c r="C44" s="69" t="s">
        <v>133</v>
      </c>
      <c r="D44" s="69">
        <f>'CAOM Na '!H33</f>
        <v>296637276.29390407</v>
      </c>
      <c r="E44" s="69">
        <f>'CAOM Na '!I33</f>
        <v>312932408.41006875</v>
      </c>
      <c r="F44" s="69">
        <f>'CAOM Na '!J33</f>
        <v>359993064.67102253</v>
      </c>
      <c r="G44" s="69">
        <f>'CAOM Na '!K33</f>
        <v>348258196.35791272</v>
      </c>
      <c r="H44" s="69">
        <f>'CAOM Na '!L33</f>
        <v>404884071.18087858</v>
      </c>
      <c r="I44" s="69">
        <f>'CAOM Na '!M33</f>
        <v>421172927.59627539</v>
      </c>
      <c r="J44" s="69">
        <f>'CAOM Na '!N33</f>
        <v>408865429.57551676</v>
      </c>
      <c r="K44" s="69">
        <f>'CAOM Na '!O33</f>
        <v>431327825.47673434</v>
      </c>
      <c r="L44" s="69">
        <f>'CAOM Na '!P33</f>
        <v>492819836.23526645</v>
      </c>
      <c r="M44" s="69">
        <f>'CAOM Na '!Q33</f>
        <v>525641021.479105</v>
      </c>
      <c r="N44" s="69">
        <f>'CAOM Na '!R33</f>
        <v>506396697.38343596</v>
      </c>
      <c r="O44" s="69">
        <f>'CAOM Na '!S33</f>
        <v>576733482.06017208</v>
      </c>
      <c r="P44" s="69">
        <f>'CAOM Na '!T33</f>
        <v>563570415.91273761</v>
      </c>
      <c r="Q44" s="69">
        <f>'CAOM Na '!U33</f>
        <v>594534899.30012608</v>
      </c>
      <c r="R44" s="69">
        <f>'CAOM Na '!V33</f>
        <v>730524524.30355012</v>
      </c>
      <c r="S44" s="69">
        <f>'CAOM Na '!W33</f>
        <v>865379029.05399275</v>
      </c>
      <c r="T44" s="69">
        <f>'CAOM Na '!X33</f>
        <v>698018304.04192102</v>
      </c>
      <c r="U44" s="69">
        <f>'CAOM Na '!Y33</f>
        <v>790166346.64990342</v>
      </c>
      <c r="V44" s="69">
        <f>'CAOM Na '!Z33</f>
        <v>776833666.38759959</v>
      </c>
      <c r="W44" s="69">
        <f>'CAOM Na '!AA33</f>
        <v>887043886.01161718</v>
      </c>
      <c r="X44" s="69">
        <f>'CAOM Na '!AB33</f>
        <v>925062076.29949737</v>
      </c>
      <c r="Y44" s="69">
        <f>'CAOM Na '!AC33</f>
        <v>912057406.19070375</v>
      </c>
      <c r="Z44" s="69">
        <f>'CAOM Na '!AD33</f>
        <v>962175174.84649754</v>
      </c>
      <c r="AA44" s="69">
        <f>'CAOM Na '!AE33</f>
        <v>1083114609.3471737</v>
      </c>
      <c r="AB44" s="69">
        <f>'CAOM Na '!AF33</f>
        <v>1152980275.6792901</v>
      </c>
      <c r="AC44" s="69">
        <f>'CAOM Na '!AG33</f>
        <v>1129670512.2313409</v>
      </c>
      <c r="AD44" s="69">
        <f>'CAOM Na '!AH33</f>
        <v>1268315414.580914</v>
      </c>
      <c r="AE44" s="69">
        <f>'CAOM Na '!AI33</f>
        <v>1257240280.851228</v>
      </c>
      <c r="AF44" s="69">
        <f>'CAOM Na '!AJ33</f>
        <v>1326331065.1320763</v>
      </c>
      <c r="AG44" s="69">
        <f>'CAOM Na '!AK33</f>
        <v>1585299098.5675311</v>
      </c>
    </row>
    <row r="47" spans="2:33" x14ac:dyDescent="0.2">
      <c r="E47" s="69">
        <f>G28/12</f>
        <v>16525986.966677077</v>
      </c>
      <c r="F47" s="185">
        <f>G30/E47</f>
        <v>0.37227373091428145</v>
      </c>
      <c r="G47" s="186">
        <f>12-F47</f>
        <v>11.627726269085718</v>
      </c>
    </row>
    <row r="50" spans="5:7" x14ac:dyDescent="0.2">
      <c r="E50" s="69">
        <f>G35/12</f>
        <v>20774234.140369121</v>
      </c>
      <c r="F50" s="185">
        <f>G37/E50</f>
        <v>4.4996767115154519</v>
      </c>
      <c r="G50" s="186">
        <f>12-F50</f>
        <v>7.5003232884845481</v>
      </c>
    </row>
  </sheetData>
  <mergeCells count="7">
    <mergeCell ref="B9:B11"/>
    <mergeCell ref="B1:I1"/>
    <mergeCell ref="B3:I3"/>
    <mergeCell ref="B4:I4"/>
    <mergeCell ref="D6:H6"/>
    <mergeCell ref="C6:C7"/>
    <mergeCell ref="B6:B7"/>
  </mergeCells>
  <pageMargins left="0.19685039370078741" right="0.19685039370078741" top="0.74803149606299213" bottom="0.74803149606299213" header="0.31496062992125984" footer="0.31496062992125984"/>
  <pageSetup scale="80" orientation="landscape" verticalDpi="599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F13"/>
  <sheetViews>
    <sheetView workbookViewId="0">
      <selection activeCell="C7" sqref="C7"/>
    </sheetView>
  </sheetViews>
  <sheetFormatPr baseColWidth="10" defaultRowHeight="12.75" x14ac:dyDescent="0.2"/>
  <cols>
    <col min="1" max="1" width="25.7109375" customWidth="1"/>
    <col min="2" max="2" width="15.85546875" customWidth="1"/>
    <col min="3" max="3" width="14" customWidth="1"/>
    <col min="4" max="4" width="3.5703125" bestFit="1" customWidth="1"/>
    <col min="5" max="5" width="18.28515625" bestFit="1" customWidth="1"/>
    <col min="6" max="6" width="17.42578125" bestFit="1" customWidth="1"/>
  </cols>
  <sheetData>
    <row r="1" spans="1:6" x14ac:dyDescent="0.2">
      <c r="A1" s="59"/>
      <c r="B1" s="59"/>
      <c r="C1" s="60"/>
      <c r="D1" s="60"/>
      <c r="E1" s="60"/>
    </row>
    <row r="2" spans="1:6" x14ac:dyDescent="0.2">
      <c r="A2" s="236" t="s">
        <v>114</v>
      </c>
      <c r="B2" s="236"/>
      <c r="C2" s="236"/>
      <c r="D2" s="236"/>
      <c r="E2" s="236"/>
      <c r="F2" s="236"/>
    </row>
    <row r="3" spans="1:6" x14ac:dyDescent="0.2">
      <c r="A3" s="237" t="s">
        <v>51</v>
      </c>
      <c r="B3" s="237"/>
      <c r="C3" s="237"/>
      <c r="D3" s="237"/>
      <c r="E3" s="237"/>
      <c r="F3" s="237"/>
    </row>
    <row r="4" spans="1:6" ht="3.75" customHeight="1" x14ac:dyDescent="0.2"/>
    <row r="5" spans="1:6" x14ac:dyDescent="0.2">
      <c r="A5" s="243" t="s">
        <v>52</v>
      </c>
      <c r="B5" s="245" t="s">
        <v>38</v>
      </c>
      <c r="C5" s="246"/>
      <c r="D5" s="246"/>
      <c r="E5" s="246"/>
      <c r="F5" s="247"/>
    </row>
    <row r="6" spans="1:6" x14ac:dyDescent="0.2">
      <c r="A6" s="244"/>
      <c r="B6" s="145" t="s">
        <v>40</v>
      </c>
      <c r="C6" s="145" t="s">
        <v>41</v>
      </c>
      <c r="D6" s="145" t="s">
        <v>42</v>
      </c>
      <c r="E6" s="145" t="s">
        <v>43</v>
      </c>
      <c r="F6" s="145" t="s">
        <v>49</v>
      </c>
    </row>
    <row r="7" spans="1:6" s="65" customFormat="1" ht="27" customHeight="1" x14ac:dyDescent="0.2">
      <c r="A7" s="146" t="s">
        <v>75</v>
      </c>
      <c r="B7" s="147">
        <f>'CAUE CMH'!B3</f>
        <v>3456438231.824862</v>
      </c>
      <c r="C7" s="147">
        <f>'CAUE CMH'!B12</f>
        <v>134614500</v>
      </c>
      <c r="D7" s="147">
        <f>'CAUE CMH'!B5</f>
        <v>0</v>
      </c>
      <c r="E7" s="147">
        <f>'CAUE CMH'!B6</f>
        <v>3591052731.824862</v>
      </c>
      <c r="F7" s="147">
        <f>'CAUE CMH'!B7</f>
        <v>-509421485.2896086</v>
      </c>
    </row>
    <row r="9" spans="1:6" s="67" customFormat="1" ht="16.5" customHeight="1" x14ac:dyDescent="0.15">
      <c r="A9" s="66" t="s">
        <v>53</v>
      </c>
      <c r="B9" s="66"/>
    </row>
    <row r="10" spans="1:6" s="67" customFormat="1" ht="16.5" customHeight="1" x14ac:dyDescent="0.15">
      <c r="A10" s="66" t="s">
        <v>54</v>
      </c>
    </row>
    <row r="11" spans="1:6" s="67" customFormat="1" ht="16.5" customHeight="1" x14ac:dyDescent="0.15">
      <c r="A11" s="66" t="s">
        <v>55</v>
      </c>
    </row>
    <row r="12" spans="1:6" s="67" customFormat="1" ht="16.5" customHeight="1" x14ac:dyDescent="0.15">
      <c r="A12" s="66" t="s">
        <v>56</v>
      </c>
    </row>
    <row r="13" spans="1:6" s="67" customFormat="1" ht="16.5" customHeight="1" x14ac:dyDescent="0.15">
      <c r="A13" s="66" t="s">
        <v>59</v>
      </c>
    </row>
  </sheetData>
  <mergeCells count="4">
    <mergeCell ref="A2:F2"/>
    <mergeCell ref="A3:F3"/>
    <mergeCell ref="A5:A6"/>
    <mergeCell ref="B5:F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F13"/>
  <sheetViews>
    <sheetView zoomScale="115" zoomScaleNormal="115" workbookViewId="0">
      <selection activeCell="B7" sqref="B7"/>
    </sheetView>
  </sheetViews>
  <sheetFormatPr baseColWidth="10" defaultRowHeight="12.75" x14ac:dyDescent="0.2"/>
  <cols>
    <col min="1" max="1" width="20.5703125" customWidth="1"/>
    <col min="2" max="2" width="14.28515625" customWidth="1"/>
    <col min="3" max="3" width="11.85546875" customWidth="1"/>
    <col min="4" max="4" width="5.7109375" customWidth="1"/>
    <col min="5" max="5" width="14" customWidth="1"/>
    <col min="6" max="6" width="11.85546875" bestFit="1" customWidth="1"/>
  </cols>
  <sheetData>
    <row r="1" spans="1:6" x14ac:dyDescent="0.2">
      <c r="A1" s="59"/>
      <c r="B1" s="59"/>
      <c r="C1" s="60"/>
      <c r="D1" s="60"/>
      <c r="E1" s="60"/>
      <c r="F1" s="152"/>
    </row>
    <row r="2" spans="1:6" x14ac:dyDescent="0.2">
      <c r="A2" s="236" t="s">
        <v>57</v>
      </c>
      <c r="B2" s="236"/>
      <c r="C2" s="236"/>
      <c r="D2" s="236"/>
      <c r="E2" s="236"/>
      <c r="F2" s="236"/>
    </row>
    <row r="3" spans="1:6" x14ac:dyDescent="0.2">
      <c r="A3" s="248" t="s">
        <v>51</v>
      </c>
      <c r="B3" s="248"/>
      <c r="C3" s="248"/>
      <c r="D3" s="248"/>
      <c r="E3" s="248"/>
      <c r="F3" s="248"/>
    </row>
    <row r="4" spans="1:6" ht="3.75" customHeight="1" x14ac:dyDescent="0.2">
      <c r="A4" s="152"/>
      <c r="B4" s="152"/>
      <c r="C4" s="152"/>
      <c r="D4" s="152"/>
      <c r="E4" s="152"/>
      <c r="F4" s="152"/>
    </row>
    <row r="5" spans="1:6" x14ac:dyDescent="0.2">
      <c r="A5" s="249" t="s">
        <v>52</v>
      </c>
      <c r="B5" s="251" t="s">
        <v>38</v>
      </c>
      <c r="C5" s="252"/>
      <c r="D5" s="252"/>
      <c r="E5" s="252"/>
      <c r="F5" s="253"/>
    </row>
    <row r="6" spans="1:6" x14ac:dyDescent="0.2">
      <c r="A6" s="250"/>
      <c r="B6" s="148" t="s">
        <v>40</v>
      </c>
      <c r="C6" s="148" t="s">
        <v>41</v>
      </c>
      <c r="D6" s="148" t="s">
        <v>42</v>
      </c>
      <c r="E6" s="148" t="s">
        <v>43</v>
      </c>
      <c r="F6" s="148" t="s">
        <v>49</v>
      </c>
    </row>
    <row r="7" spans="1:6" s="65" customFormat="1" ht="27" customHeight="1" x14ac:dyDescent="0.2">
      <c r="A7" s="149" t="s">
        <v>75</v>
      </c>
      <c r="B7" s="150">
        <f>+'CAUE LED'!B3</f>
        <v>1500139374.6101565</v>
      </c>
      <c r="C7" s="151">
        <f>+'CAUE LED'!B4</f>
        <v>875050000</v>
      </c>
      <c r="D7" s="151">
        <f>+'CAUE LED'!B5</f>
        <v>0</v>
      </c>
      <c r="E7" s="151">
        <f>+'CAUE LED'!B6</f>
        <v>2375189374.6101565</v>
      </c>
      <c r="F7" s="151">
        <f>+'CAUE LED'!B7</f>
        <v>-336940888.76359433</v>
      </c>
    </row>
    <row r="9" spans="1:6" s="67" customFormat="1" ht="16.5" customHeight="1" x14ac:dyDescent="0.15">
      <c r="A9" s="66" t="s">
        <v>53</v>
      </c>
      <c r="B9" s="66"/>
    </row>
    <row r="10" spans="1:6" s="67" customFormat="1" ht="16.5" customHeight="1" x14ac:dyDescent="0.15">
      <c r="A10" s="66" t="s">
        <v>54</v>
      </c>
    </row>
    <row r="11" spans="1:6" s="67" customFormat="1" ht="16.5" customHeight="1" x14ac:dyDescent="0.15">
      <c r="A11" s="66" t="s">
        <v>55</v>
      </c>
    </row>
    <row r="12" spans="1:6" s="67" customFormat="1" ht="16.5" customHeight="1" x14ac:dyDescent="0.15">
      <c r="A12" s="66" t="s">
        <v>56</v>
      </c>
    </row>
    <row r="13" spans="1:6" s="67" customFormat="1" ht="16.5" customHeight="1" x14ac:dyDescent="0.15">
      <c r="A13" s="66" t="s">
        <v>59</v>
      </c>
    </row>
  </sheetData>
  <mergeCells count="4">
    <mergeCell ref="A2:F2"/>
    <mergeCell ref="A3:F3"/>
    <mergeCell ref="A5:A6"/>
    <mergeCell ref="B5:F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I80"/>
  <sheetViews>
    <sheetView showGridLines="0" zoomScaleSheetLayoutView="120" workbookViewId="0">
      <pane ySplit="4" topLeftCell="A36" activePane="bottomLeft" state="frozen"/>
      <selection pane="bottomLeft" activeCell="C56" sqref="C56"/>
    </sheetView>
  </sheetViews>
  <sheetFormatPr baseColWidth="10" defaultRowHeight="12.75" x14ac:dyDescent="0.2"/>
  <cols>
    <col min="1" max="1" width="21.140625" customWidth="1"/>
    <col min="2" max="2" width="25.140625" style="30" customWidth="1"/>
    <col min="3" max="3" width="12.5703125" bestFit="1" customWidth="1"/>
    <col min="4" max="4" width="12.28515625" style="30" customWidth="1"/>
    <col min="5" max="5" width="8.7109375" bestFit="1" customWidth="1"/>
    <col min="6" max="6" width="18.42578125" customWidth="1"/>
    <col min="8" max="8" width="12.7109375" bestFit="1" customWidth="1"/>
  </cols>
  <sheetData>
    <row r="1" spans="1:6" x14ac:dyDescent="0.2">
      <c r="A1" s="201" t="s">
        <v>31</v>
      </c>
      <c r="B1" s="201"/>
      <c r="C1" s="201"/>
      <c r="D1" s="201"/>
      <c r="E1" s="201"/>
      <c r="F1" s="201"/>
    </row>
    <row r="2" spans="1:6" ht="12.75" customHeight="1" x14ac:dyDescent="0.2">
      <c r="A2" s="202" t="s">
        <v>76</v>
      </c>
      <c r="B2" s="202"/>
      <c r="C2" s="202"/>
      <c r="D2" s="202"/>
      <c r="E2" s="202"/>
      <c r="F2" s="202"/>
    </row>
    <row r="3" spans="1:6" x14ac:dyDescent="0.2">
      <c r="A3" s="201" t="s">
        <v>0</v>
      </c>
      <c r="B3" s="201"/>
      <c r="C3" s="201"/>
      <c r="D3" s="201"/>
      <c r="E3" s="201"/>
      <c r="F3" s="201"/>
    </row>
    <row r="5" spans="1:6" ht="15" customHeight="1" x14ac:dyDescent="0.2">
      <c r="A5" s="205" t="s">
        <v>1</v>
      </c>
      <c r="B5" s="205" t="s">
        <v>66</v>
      </c>
      <c r="C5" s="210" t="s">
        <v>33</v>
      </c>
      <c r="D5" s="210"/>
      <c r="E5" s="210"/>
      <c r="F5" s="210"/>
    </row>
    <row r="6" spans="1:6" ht="30" customHeight="1" x14ac:dyDescent="0.2">
      <c r="A6" s="206"/>
      <c r="B6" s="206" t="s">
        <v>2</v>
      </c>
      <c r="C6" s="168" t="s">
        <v>3</v>
      </c>
      <c r="D6" s="168" t="s">
        <v>4</v>
      </c>
      <c r="E6" s="168" t="s">
        <v>14</v>
      </c>
      <c r="F6" s="169" t="s">
        <v>15</v>
      </c>
    </row>
    <row r="7" spans="1:6" x14ac:dyDescent="0.2">
      <c r="A7" s="195" t="s">
        <v>30</v>
      </c>
      <c r="B7" s="170" t="s">
        <v>77</v>
      </c>
      <c r="C7" s="132">
        <v>107</v>
      </c>
      <c r="D7" s="31">
        <v>1150000</v>
      </c>
      <c r="E7" s="132">
        <v>15</v>
      </c>
      <c r="F7" s="6">
        <f>C7*D7</f>
        <v>123050000</v>
      </c>
    </row>
    <row r="8" spans="1:6" x14ac:dyDescent="0.2">
      <c r="A8" s="195"/>
      <c r="B8" s="170" t="s">
        <v>78</v>
      </c>
      <c r="C8" s="132">
        <v>234</v>
      </c>
      <c r="D8" s="31">
        <v>1400000</v>
      </c>
      <c r="E8" s="132">
        <v>15</v>
      </c>
      <c r="F8" s="6">
        <f>C8*D8</f>
        <v>327600000</v>
      </c>
    </row>
    <row r="9" spans="1:6" x14ac:dyDescent="0.2">
      <c r="A9" s="171"/>
      <c r="B9" s="170" t="s">
        <v>79</v>
      </c>
      <c r="C9" s="132">
        <v>55</v>
      </c>
      <c r="D9" s="31">
        <v>1600000</v>
      </c>
      <c r="E9" s="132">
        <v>15</v>
      </c>
      <c r="F9" s="6">
        <f t="shared" ref="F9:F12" si="0">C9*D9</f>
        <v>88000000</v>
      </c>
    </row>
    <row r="10" spans="1:6" x14ac:dyDescent="0.2">
      <c r="A10" s="171"/>
      <c r="B10" s="170" t="s">
        <v>80</v>
      </c>
      <c r="C10" s="132">
        <v>28</v>
      </c>
      <c r="D10" s="31">
        <v>1100000</v>
      </c>
      <c r="E10" s="132">
        <v>15</v>
      </c>
      <c r="F10" s="6">
        <f t="shared" si="0"/>
        <v>30800000</v>
      </c>
    </row>
    <row r="11" spans="1:6" x14ac:dyDescent="0.2">
      <c r="A11" s="171"/>
      <c r="B11" s="170" t="s">
        <v>81</v>
      </c>
      <c r="C11" s="132">
        <v>56</v>
      </c>
      <c r="D11" s="31">
        <v>1600000</v>
      </c>
      <c r="E11" s="132">
        <v>15</v>
      </c>
      <c r="F11" s="6">
        <f t="shared" si="0"/>
        <v>89600000</v>
      </c>
    </row>
    <row r="12" spans="1:6" x14ac:dyDescent="0.2">
      <c r="A12" s="171"/>
      <c r="B12" s="170" t="s">
        <v>82</v>
      </c>
      <c r="C12" s="132">
        <v>120</v>
      </c>
      <c r="D12" s="31">
        <v>1800000</v>
      </c>
      <c r="E12" s="132">
        <v>15</v>
      </c>
      <c r="F12" s="6">
        <f t="shared" si="0"/>
        <v>216000000</v>
      </c>
    </row>
    <row r="13" spans="1:6" x14ac:dyDescent="0.2">
      <c r="A13" s="196"/>
      <c r="B13" s="197"/>
      <c r="C13" s="197"/>
      <c r="D13" s="197"/>
      <c r="E13" s="197"/>
      <c r="F13" s="198"/>
    </row>
    <row r="14" spans="1:6" ht="15" customHeight="1" x14ac:dyDescent="0.2">
      <c r="A14" s="203" t="s">
        <v>11</v>
      </c>
      <c r="B14" s="203"/>
      <c r="C14" s="133">
        <f>SUM(C7:C12)</f>
        <v>600</v>
      </c>
      <c r="D14" s="133" t="s">
        <v>7</v>
      </c>
      <c r="E14" s="133"/>
      <c r="F14" s="134">
        <f>SUM(F7:F12)</f>
        <v>875050000</v>
      </c>
    </row>
    <row r="15" spans="1:6" ht="18.75" customHeight="1" x14ac:dyDescent="0.25">
      <c r="A15" s="209" t="s">
        <v>13</v>
      </c>
      <c r="B15" s="209"/>
      <c r="C15" s="209"/>
      <c r="D15" s="209"/>
      <c r="E15" s="209"/>
      <c r="F15" s="172">
        <f>F14</f>
        <v>875050000</v>
      </c>
    </row>
    <row r="18" spans="1:9" x14ac:dyDescent="0.2">
      <c r="A18" s="40"/>
      <c r="B18" s="41"/>
      <c r="C18" s="40"/>
      <c r="D18" s="41"/>
      <c r="E18" s="40"/>
      <c r="F18" s="40"/>
    </row>
    <row r="19" spans="1:9" x14ac:dyDescent="0.2">
      <c r="A19" s="40"/>
      <c r="B19" s="41"/>
      <c r="C19" s="40"/>
      <c r="D19" s="41"/>
      <c r="E19" s="40"/>
      <c r="F19" s="40"/>
    </row>
    <row r="20" spans="1:9" ht="15" customHeight="1" x14ac:dyDescent="0.2">
      <c r="A20" s="205" t="s">
        <v>1</v>
      </c>
      <c r="B20" s="205" t="s">
        <v>67</v>
      </c>
      <c r="C20" s="207" t="s">
        <v>32</v>
      </c>
      <c r="D20" s="207"/>
      <c r="E20" s="207"/>
      <c r="F20" s="207"/>
    </row>
    <row r="21" spans="1:9" ht="30" customHeight="1" x14ac:dyDescent="0.2">
      <c r="A21" s="206"/>
      <c r="B21" s="206" t="s">
        <v>2</v>
      </c>
      <c r="C21" s="168" t="s">
        <v>3</v>
      </c>
      <c r="D21" s="168" t="s">
        <v>4</v>
      </c>
      <c r="E21" s="168" t="s">
        <v>14</v>
      </c>
      <c r="F21" s="169" t="s">
        <v>15</v>
      </c>
    </row>
    <row r="22" spans="1:9" x14ac:dyDescent="0.2">
      <c r="A22" s="195" t="s">
        <v>70</v>
      </c>
      <c r="B22" s="170" t="s">
        <v>83</v>
      </c>
      <c r="C22" s="132">
        <v>228</v>
      </c>
      <c r="D22" s="33">
        <v>211900</v>
      </c>
      <c r="E22" s="132">
        <v>15</v>
      </c>
      <c r="F22" s="6">
        <f>C22*D22</f>
        <v>48313200</v>
      </c>
    </row>
    <row r="23" spans="1:9" x14ac:dyDescent="0.2">
      <c r="A23" s="195"/>
      <c r="B23" s="170" t="s">
        <v>86</v>
      </c>
      <c r="C23" s="132">
        <v>176</v>
      </c>
      <c r="D23" s="31">
        <v>232800</v>
      </c>
      <c r="E23" s="132">
        <v>15</v>
      </c>
      <c r="F23" s="6">
        <f>C23*D23</f>
        <v>40972800</v>
      </c>
    </row>
    <row r="24" spans="1:9" x14ac:dyDescent="0.2">
      <c r="A24" s="195"/>
      <c r="B24" s="170" t="s">
        <v>84</v>
      </c>
      <c r="C24" s="132">
        <v>6</v>
      </c>
      <c r="D24" s="31">
        <v>357700</v>
      </c>
      <c r="E24" s="132">
        <v>15</v>
      </c>
      <c r="F24" s="6">
        <f>C24*D24</f>
        <v>2146200</v>
      </c>
      <c r="H24" s="182"/>
    </row>
    <row r="25" spans="1:9" x14ac:dyDescent="0.2">
      <c r="A25" s="171"/>
      <c r="B25" s="170" t="s">
        <v>85</v>
      </c>
      <c r="C25" s="132">
        <v>198</v>
      </c>
      <c r="D25" s="31">
        <v>377300</v>
      </c>
      <c r="E25" s="132">
        <v>15</v>
      </c>
      <c r="F25" s="6">
        <f>C25*D25</f>
        <v>74705400</v>
      </c>
    </row>
    <row r="26" spans="1:9" x14ac:dyDescent="0.2">
      <c r="A26" s="208" t="s">
        <v>11</v>
      </c>
      <c r="B26" s="208"/>
      <c r="C26" s="135">
        <f>SUM(C22:C25)</f>
        <v>608</v>
      </c>
      <c r="D26" s="135" t="s">
        <v>7</v>
      </c>
      <c r="E26" s="135"/>
      <c r="F26" s="136">
        <f>SUM(F22:F24)</f>
        <v>91432200</v>
      </c>
      <c r="H26" s="40"/>
      <c r="I26" s="40"/>
    </row>
    <row r="27" spans="1:9" x14ac:dyDescent="0.2">
      <c r="A27" s="195" t="s">
        <v>71</v>
      </c>
      <c r="B27" s="170" t="s">
        <v>88</v>
      </c>
      <c r="C27" s="132">
        <f>+C22</f>
        <v>228</v>
      </c>
      <c r="D27" s="31">
        <v>15000</v>
      </c>
      <c r="E27" s="132">
        <v>2.8</v>
      </c>
      <c r="F27" s="6">
        <f>C27*D27</f>
        <v>3420000</v>
      </c>
      <c r="H27" s="112"/>
      <c r="I27" s="40"/>
    </row>
    <row r="28" spans="1:9" x14ac:dyDescent="0.2">
      <c r="A28" s="195"/>
      <c r="B28" s="170" t="s">
        <v>89</v>
      </c>
      <c r="C28" s="132">
        <f>+C23</f>
        <v>176</v>
      </c>
      <c r="D28" s="31">
        <v>16900</v>
      </c>
      <c r="E28" s="132">
        <v>2.8</v>
      </c>
      <c r="F28" s="6">
        <f>C28*D28</f>
        <v>2974400</v>
      </c>
      <c r="H28" s="112"/>
      <c r="I28" s="40"/>
    </row>
    <row r="29" spans="1:9" x14ac:dyDescent="0.2">
      <c r="A29" s="195"/>
      <c r="B29" s="170" t="s">
        <v>90</v>
      </c>
      <c r="C29" s="132">
        <f>+C24</f>
        <v>6</v>
      </c>
      <c r="D29" s="31">
        <v>60000</v>
      </c>
      <c r="E29" s="132">
        <v>2.8</v>
      </c>
      <c r="F29" s="6">
        <f>C29*D29</f>
        <v>360000</v>
      </c>
      <c r="H29" s="112"/>
      <c r="I29" s="40"/>
    </row>
    <row r="30" spans="1:9" x14ac:dyDescent="0.2">
      <c r="A30" s="195"/>
      <c r="B30" s="170" t="s">
        <v>91</v>
      </c>
      <c r="C30" s="132">
        <f>+C25</f>
        <v>198</v>
      </c>
      <c r="D30" s="31">
        <v>100000</v>
      </c>
      <c r="E30" s="132">
        <v>2.8</v>
      </c>
      <c r="F30" s="6">
        <f>C30*D30</f>
        <v>19800000</v>
      </c>
      <c r="H30" s="112"/>
      <c r="I30" s="40"/>
    </row>
    <row r="31" spans="1:9" x14ac:dyDescent="0.2">
      <c r="A31" s="196"/>
      <c r="B31" s="197"/>
      <c r="C31" s="197"/>
      <c r="D31" s="197"/>
      <c r="E31" s="197"/>
      <c r="F31" s="198"/>
      <c r="H31" s="112"/>
      <c r="I31" s="40"/>
    </row>
    <row r="32" spans="1:9" x14ac:dyDescent="0.2">
      <c r="A32" s="208" t="s">
        <v>11</v>
      </c>
      <c r="B32" s="208"/>
      <c r="C32" s="135">
        <f>SUM(C27:C30)</f>
        <v>608</v>
      </c>
      <c r="D32" s="135" t="s">
        <v>7</v>
      </c>
      <c r="E32" s="135"/>
      <c r="F32" s="136">
        <f>SUM(F27:F30)</f>
        <v>26554400</v>
      </c>
    </row>
    <row r="33" spans="1:9" ht="15.75" x14ac:dyDescent="0.25">
      <c r="A33" s="209" t="s">
        <v>13</v>
      </c>
      <c r="B33" s="209"/>
      <c r="C33" s="209"/>
      <c r="D33" s="209"/>
      <c r="E33" s="209"/>
      <c r="F33" s="172">
        <f>+F32+F26</f>
        <v>117986600</v>
      </c>
    </row>
    <row r="34" spans="1:9" x14ac:dyDescent="0.2">
      <c r="A34" s="55"/>
      <c r="B34" s="55"/>
      <c r="C34" s="56"/>
      <c r="D34" s="56"/>
      <c r="E34" s="56"/>
      <c r="F34" s="57"/>
    </row>
    <row r="35" spans="1:9" x14ac:dyDescent="0.2">
      <c r="A35" s="55"/>
      <c r="B35" s="55"/>
      <c r="C35" s="56"/>
      <c r="D35" s="56"/>
      <c r="E35" s="56"/>
      <c r="F35" s="57"/>
    </row>
    <row r="36" spans="1:9" x14ac:dyDescent="0.2">
      <c r="A36" s="55"/>
      <c r="B36" s="55"/>
      <c r="C36" s="56"/>
      <c r="D36" s="56"/>
      <c r="E36" s="56"/>
      <c r="F36" s="57"/>
    </row>
    <row r="37" spans="1:9" x14ac:dyDescent="0.2">
      <c r="A37" s="55"/>
      <c r="B37" s="55"/>
      <c r="C37" s="56"/>
      <c r="D37" s="56"/>
      <c r="E37" s="56"/>
      <c r="F37" s="57"/>
    </row>
    <row r="38" spans="1:9" x14ac:dyDescent="0.2">
      <c r="A38" s="55"/>
      <c r="B38" s="55"/>
      <c r="C38" s="56"/>
      <c r="D38" s="56"/>
      <c r="E38" s="56"/>
      <c r="F38" s="57"/>
    </row>
    <row r="39" spans="1:9" ht="15" customHeight="1" x14ac:dyDescent="0.2">
      <c r="A39" s="205" t="s">
        <v>1</v>
      </c>
      <c r="B39" s="205" t="s">
        <v>67</v>
      </c>
      <c r="C39" s="199" t="s">
        <v>87</v>
      </c>
      <c r="D39" s="199"/>
      <c r="E39" s="199"/>
      <c r="F39" s="199"/>
    </row>
    <row r="40" spans="1:9" ht="30" customHeight="1" x14ac:dyDescent="0.2">
      <c r="A40" s="206"/>
      <c r="B40" s="206" t="s">
        <v>2</v>
      </c>
      <c r="C40" s="168" t="s">
        <v>3</v>
      </c>
      <c r="D40" s="168" t="s">
        <v>4</v>
      </c>
      <c r="E40" s="168" t="s">
        <v>14</v>
      </c>
      <c r="F40" s="169" t="s">
        <v>15</v>
      </c>
    </row>
    <row r="41" spans="1:9" x14ac:dyDescent="0.2">
      <c r="A41" s="195" t="s">
        <v>124</v>
      </c>
      <c r="B41" s="170" t="s">
        <v>83</v>
      </c>
      <c r="C41" s="132">
        <v>203</v>
      </c>
      <c r="D41" s="33">
        <v>211900</v>
      </c>
      <c r="E41" s="132">
        <v>15</v>
      </c>
      <c r="F41" s="6">
        <f>C41*D41</f>
        <v>43015700</v>
      </c>
    </row>
    <row r="42" spans="1:9" x14ac:dyDescent="0.2">
      <c r="A42" s="195"/>
      <c r="B42" s="170" t="s">
        <v>86</v>
      </c>
      <c r="C42" s="132">
        <v>196</v>
      </c>
      <c r="D42" s="31">
        <v>232800</v>
      </c>
      <c r="E42" s="132">
        <v>15</v>
      </c>
      <c r="F42" s="6">
        <f>C42*D42</f>
        <v>45628800</v>
      </c>
    </row>
    <row r="43" spans="1:9" x14ac:dyDescent="0.2">
      <c r="A43" s="195"/>
      <c r="B43" s="170" t="s">
        <v>84</v>
      </c>
      <c r="C43" s="132">
        <v>10</v>
      </c>
      <c r="D43" s="31">
        <v>357700</v>
      </c>
      <c r="E43" s="132">
        <v>15</v>
      </c>
      <c r="F43" s="6">
        <f>C43*D43</f>
        <v>3577000</v>
      </c>
    </row>
    <row r="44" spans="1:9" x14ac:dyDescent="0.2">
      <c r="A44" s="171"/>
      <c r="B44" s="170" t="s">
        <v>85</v>
      </c>
      <c r="C44" s="132">
        <v>194</v>
      </c>
      <c r="D44" s="31">
        <v>377300</v>
      </c>
      <c r="E44" s="132">
        <v>15</v>
      </c>
      <c r="F44" s="6">
        <f>C44*D44</f>
        <v>73196200</v>
      </c>
    </row>
    <row r="45" spans="1:9" x14ac:dyDescent="0.2">
      <c r="A45" s="200" t="s">
        <v>11</v>
      </c>
      <c r="B45" s="200"/>
      <c r="C45" s="137">
        <f>SUM(C41:C44)</f>
        <v>603</v>
      </c>
      <c r="D45" s="137" t="s">
        <v>7</v>
      </c>
      <c r="E45" s="137"/>
      <c r="F45" s="138">
        <f>SUM(F41:F43)</f>
        <v>92221500</v>
      </c>
      <c r="H45" s="40"/>
      <c r="I45" s="40"/>
    </row>
    <row r="46" spans="1:9" x14ac:dyDescent="0.2">
      <c r="A46" s="195" t="s">
        <v>92</v>
      </c>
      <c r="B46" s="170" t="s">
        <v>99</v>
      </c>
      <c r="C46" s="132">
        <f>+C41</f>
        <v>203</v>
      </c>
      <c r="D46" s="31">
        <v>43400</v>
      </c>
      <c r="E46" s="132">
        <v>2.4</v>
      </c>
      <c r="F46" s="6">
        <f>C46*D46</f>
        <v>8810200</v>
      </c>
      <c r="H46" s="112"/>
      <c r="I46" s="40"/>
    </row>
    <row r="47" spans="1:9" x14ac:dyDescent="0.2">
      <c r="A47" s="195"/>
      <c r="B47" s="170" t="s">
        <v>98</v>
      </c>
      <c r="C47" s="132">
        <f>+C42</f>
        <v>196</v>
      </c>
      <c r="D47" s="31">
        <v>69300</v>
      </c>
      <c r="E47" s="132">
        <v>2.4</v>
      </c>
      <c r="F47" s="6">
        <f>C47*D47</f>
        <v>13582800</v>
      </c>
      <c r="H47" s="112"/>
      <c r="I47" s="40"/>
    </row>
    <row r="48" spans="1:9" x14ac:dyDescent="0.2">
      <c r="A48" s="195"/>
      <c r="B48" s="170" t="s">
        <v>90</v>
      </c>
      <c r="C48" s="132">
        <f>+C43</f>
        <v>10</v>
      </c>
      <c r="D48" s="31">
        <v>60000</v>
      </c>
      <c r="E48" s="132">
        <v>2.4</v>
      </c>
      <c r="F48" s="6">
        <f>C48*D48</f>
        <v>600000</v>
      </c>
      <c r="H48" s="112"/>
      <c r="I48" s="40"/>
    </row>
    <row r="49" spans="1:9" x14ac:dyDescent="0.2">
      <c r="A49" s="195"/>
      <c r="B49" s="170" t="s">
        <v>91</v>
      </c>
      <c r="C49" s="132">
        <f>+C44</f>
        <v>194</v>
      </c>
      <c r="D49" s="31">
        <v>100000</v>
      </c>
      <c r="E49" s="132">
        <v>2.4</v>
      </c>
      <c r="F49" s="6">
        <f>C49*D49</f>
        <v>19400000</v>
      </c>
      <c r="H49" s="112"/>
      <c r="I49" s="40"/>
    </row>
    <row r="50" spans="1:9" x14ac:dyDescent="0.2">
      <c r="A50" s="196"/>
      <c r="B50" s="197"/>
      <c r="C50" s="197"/>
      <c r="D50" s="197"/>
      <c r="E50" s="197"/>
      <c r="F50" s="198"/>
      <c r="H50" s="112"/>
      <c r="I50" s="40"/>
    </row>
    <row r="51" spans="1:9" x14ac:dyDescent="0.2">
      <c r="A51" s="200" t="s">
        <v>11</v>
      </c>
      <c r="B51" s="200"/>
      <c r="C51" s="137">
        <f>SUM(C46:C49)</f>
        <v>603</v>
      </c>
      <c r="D51" s="137" t="s">
        <v>7</v>
      </c>
      <c r="E51" s="137"/>
      <c r="F51" s="138">
        <f>SUM(F46:F49)</f>
        <v>42393000</v>
      </c>
    </row>
    <row r="52" spans="1:9" ht="15.75" x14ac:dyDescent="0.25">
      <c r="A52" s="209" t="s">
        <v>13</v>
      </c>
      <c r="B52" s="209"/>
      <c r="C52" s="209"/>
      <c r="D52" s="209"/>
      <c r="E52" s="209"/>
      <c r="F52" s="172">
        <f>+F51+F45</f>
        <v>134614500</v>
      </c>
    </row>
    <row r="53" spans="1:9" s="54" customFormat="1" ht="15.75" x14ac:dyDescent="0.25">
      <c r="A53" s="204"/>
      <c r="B53" s="204"/>
      <c r="C53" s="204"/>
      <c r="D53" s="204"/>
      <c r="E53" s="204"/>
      <c r="F53" s="53"/>
    </row>
    <row r="55" spans="1:9" x14ac:dyDescent="0.2">
      <c r="A55" s="180" t="s">
        <v>137</v>
      </c>
    </row>
    <row r="56" spans="1:9" x14ac:dyDescent="0.2">
      <c r="A56" s="69" t="s">
        <v>138</v>
      </c>
      <c r="B56" s="181">
        <f>(1-(F52/F15))</f>
        <v>0.84616364779155473</v>
      </c>
      <c r="C56" s="184">
        <f>F15/F52</f>
        <v>6.500414145578671</v>
      </c>
    </row>
    <row r="57" spans="1:9" x14ac:dyDescent="0.2">
      <c r="A57" s="69" t="s">
        <v>139</v>
      </c>
      <c r="B57" s="181">
        <f>((1-(F33/F15)))</f>
        <v>0.86516587623564367</v>
      </c>
      <c r="C57" s="183">
        <f>F15/F33</f>
        <v>7.4165201811053123</v>
      </c>
    </row>
    <row r="61" spans="1:9" ht="13.5" hidden="1" customHeight="1" thickTop="1" x14ac:dyDescent="0.2">
      <c r="A61" s="214" t="s">
        <v>5</v>
      </c>
      <c r="B61" s="34">
        <v>70</v>
      </c>
      <c r="C61" s="3"/>
      <c r="D61" s="31"/>
      <c r="E61" s="3"/>
      <c r="F61" s="4">
        <f t="shared" ref="F61:F66" si="1">C61*D61</f>
        <v>0</v>
      </c>
    </row>
    <row r="62" spans="1:9" ht="12.75" hidden="1" customHeight="1" x14ac:dyDescent="0.2">
      <c r="A62" s="215"/>
      <c r="B62" s="35">
        <v>150</v>
      </c>
      <c r="C62" s="5"/>
      <c r="D62" s="31"/>
      <c r="E62" s="5"/>
      <c r="F62" s="4">
        <f t="shared" si="1"/>
        <v>0</v>
      </c>
    </row>
    <row r="63" spans="1:9" ht="12.75" hidden="1" customHeight="1" x14ac:dyDescent="0.2">
      <c r="A63" s="215"/>
      <c r="B63" s="35">
        <v>250</v>
      </c>
      <c r="C63" s="5"/>
      <c r="D63" s="31"/>
      <c r="E63" s="5"/>
      <c r="F63" s="4">
        <f t="shared" si="1"/>
        <v>0</v>
      </c>
    </row>
    <row r="64" spans="1:9" ht="12.75" hidden="1" customHeight="1" x14ac:dyDescent="0.2">
      <c r="A64" s="215"/>
      <c r="B64" s="35">
        <v>400</v>
      </c>
      <c r="C64" s="5"/>
      <c r="D64" s="31"/>
      <c r="E64" s="5"/>
      <c r="F64" s="4">
        <f t="shared" si="1"/>
        <v>0</v>
      </c>
    </row>
    <row r="65" spans="1:6" ht="12.75" hidden="1" customHeight="1" x14ac:dyDescent="0.2">
      <c r="A65" s="215"/>
      <c r="B65" s="35">
        <v>600</v>
      </c>
      <c r="C65" s="5"/>
      <c r="D65" s="31"/>
      <c r="E65" s="5"/>
      <c r="F65" s="4">
        <f t="shared" si="1"/>
        <v>0</v>
      </c>
    </row>
    <row r="66" spans="1:6" ht="12.75" hidden="1" customHeight="1" x14ac:dyDescent="0.2">
      <c r="A66" s="216"/>
      <c r="B66" s="35">
        <v>1000</v>
      </c>
      <c r="C66" s="5"/>
      <c r="D66" s="31"/>
      <c r="E66" s="5"/>
      <c r="F66" s="4">
        <f t="shared" si="1"/>
        <v>0</v>
      </c>
    </row>
    <row r="67" spans="1:6" hidden="1" x14ac:dyDescent="0.2">
      <c r="A67" s="217" t="s">
        <v>6</v>
      </c>
      <c r="B67" s="218"/>
      <c r="C67" s="7">
        <f>SUM(C61:C66)</f>
        <v>0</v>
      </c>
      <c r="D67" s="32" t="s">
        <v>7</v>
      </c>
      <c r="E67" s="7"/>
      <c r="F67" s="8">
        <f>SUM(F61:F65)</f>
        <v>0</v>
      </c>
    </row>
    <row r="68" spans="1:6" hidden="1" x14ac:dyDescent="0.2">
      <c r="A68" s="219" t="s">
        <v>8</v>
      </c>
      <c r="B68" s="35" t="s">
        <v>9</v>
      </c>
      <c r="C68" s="5"/>
      <c r="D68" s="33"/>
      <c r="E68" s="5"/>
      <c r="F68" s="6">
        <f t="shared" ref="F68:F75" si="2">C68*D68</f>
        <v>0</v>
      </c>
    </row>
    <row r="69" spans="1:6" hidden="1" x14ac:dyDescent="0.2">
      <c r="A69" s="215"/>
      <c r="B69" s="35">
        <v>70</v>
      </c>
      <c r="C69" s="5"/>
      <c r="D69" s="33"/>
      <c r="E69" s="5"/>
      <c r="F69" s="6">
        <f t="shared" si="2"/>
        <v>0</v>
      </c>
    </row>
    <row r="70" spans="1:6" hidden="1" x14ac:dyDescent="0.2">
      <c r="A70" s="215"/>
      <c r="B70" s="35">
        <v>150</v>
      </c>
      <c r="C70" s="5"/>
      <c r="D70" s="33"/>
      <c r="E70" s="5"/>
      <c r="F70" s="6">
        <f t="shared" si="2"/>
        <v>0</v>
      </c>
    </row>
    <row r="71" spans="1:6" hidden="1" x14ac:dyDescent="0.2">
      <c r="A71" s="215"/>
      <c r="B71" s="35">
        <v>250</v>
      </c>
      <c r="C71" s="5"/>
      <c r="D71" s="33"/>
      <c r="E71" s="5"/>
      <c r="F71" s="6">
        <f t="shared" si="2"/>
        <v>0</v>
      </c>
    </row>
    <row r="72" spans="1:6" hidden="1" x14ac:dyDescent="0.2">
      <c r="A72" s="215"/>
      <c r="B72" s="35">
        <v>400</v>
      </c>
      <c r="C72" s="5"/>
      <c r="D72" s="33"/>
      <c r="E72" s="5"/>
      <c r="F72" s="6">
        <f t="shared" si="2"/>
        <v>0</v>
      </c>
    </row>
    <row r="73" spans="1:6" hidden="1" x14ac:dyDescent="0.2">
      <c r="A73" s="215"/>
      <c r="B73" s="35" t="s">
        <v>10</v>
      </c>
      <c r="C73" s="5"/>
      <c r="D73" s="33"/>
      <c r="E73" s="5"/>
      <c r="F73" s="6">
        <f t="shared" si="2"/>
        <v>0</v>
      </c>
    </row>
    <row r="74" spans="1:6" hidden="1" x14ac:dyDescent="0.2">
      <c r="A74" s="215"/>
      <c r="B74" s="35">
        <v>600</v>
      </c>
      <c r="C74" s="5"/>
      <c r="D74" s="33"/>
      <c r="E74" s="5"/>
      <c r="F74" s="6">
        <f t="shared" si="2"/>
        <v>0</v>
      </c>
    </row>
    <row r="75" spans="1:6" hidden="1" x14ac:dyDescent="0.2">
      <c r="A75" s="216"/>
      <c r="B75" s="35">
        <v>1000</v>
      </c>
      <c r="C75" s="5"/>
      <c r="D75" s="33"/>
      <c r="E75" s="5"/>
      <c r="F75" s="6">
        <f t="shared" si="2"/>
        <v>0</v>
      </c>
    </row>
    <row r="76" spans="1:6" hidden="1" x14ac:dyDescent="0.2">
      <c r="A76" s="217" t="s">
        <v>11</v>
      </c>
      <c r="B76" s="218"/>
      <c r="C76" s="7">
        <f>SUM(C68:C75)</f>
        <v>0</v>
      </c>
      <c r="D76" s="32" t="s">
        <v>7</v>
      </c>
      <c r="E76" s="7"/>
      <c r="F76" s="8">
        <f>SUM(F68:F75)</f>
        <v>0</v>
      </c>
    </row>
    <row r="77" spans="1:6" hidden="1" x14ac:dyDescent="0.2">
      <c r="A77" s="2" t="s">
        <v>12</v>
      </c>
      <c r="B77" s="36"/>
      <c r="C77" s="5">
        <v>0</v>
      </c>
      <c r="D77" s="31"/>
      <c r="E77" s="5"/>
      <c r="F77" s="4">
        <f>C77*D77</f>
        <v>0</v>
      </c>
    </row>
    <row r="78" spans="1:6" hidden="1" x14ac:dyDescent="0.2"/>
    <row r="79" spans="1:6" ht="16.5" hidden="1" thickBot="1" x14ac:dyDescent="0.3">
      <c r="A79" s="211" t="s">
        <v>13</v>
      </c>
      <c r="B79" s="212"/>
      <c r="C79" s="212"/>
      <c r="D79" s="212"/>
      <c r="E79" s="213"/>
      <c r="F79" s="1">
        <f>F67+F76+F77</f>
        <v>0</v>
      </c>
    </row>
    <row r="80" spans="1:6" hidden="1" x14ac:dyDescent="0.2"/>
  </sheetData>
  <mergeCells count="34">
    <mergeCell ref="A79:E79"/>
    <mergeCell ref="A61:A66"/>
    <mergeCell ref="A67:B67"/>
    <mergeCell ref="A68:A75"/>
    <mergeCell ref="A76:B76"/>
    <mergeCell ref="A53:E53"/>
    <mergeCell ref="A5:A6"/>
    <mergeCell ref="A20:A21"/>
    <mergeCell ref="B20:B21"/>
    <mergeCell ref="B5:B6"/>
    <mergeCell ref="C20:F20"/>
    <mergeCell ref="A26:B26"/>
    <mergeCell ref="A33:E33"/>
    <mergeCell ref="C5:F5"/>
    <mergeCell ref="A15:E15"/>
    <mergeCell ref="A27:A30"/>
    <mergeCell ref="A32:B32"/>
    <mergeCell ref="A52:E52"/>
    <mergeCell ref="A39:A40"/>
    <mergeCell ref="B39:B40"/>
    <mergeCell ref="A51:B51"/>
    <mergeCell ref="A1:F1"/>
    <mergeCell ref="A2:F2"/>
    <mergeCell ref="A3:F3"/>
    <mergeCell ref="A7:A8"/>
    <mergeCell ref="A14:B14"/>
    <mergeCell ref="A13:F13"/>
    <mergeCell ref="A22:A24"/>
    <mergeCell ref="A31:F31"/>
    <mergeCell ref="A50:F50"/>
    <mergeCell ref="C39:F39"/>
    <mergeCell ref="A41:A43"/>
    <mergeCell ref="A45:B45"/>
    <mergeCell ref="A46:A49"/>
  </mergeCells>
  <phoneticPr fontId="0" type="noConversion"/>
  <printOptions horizontalCentered="1"/>
  <pageMargins left="0.70866141732283472" right="0.70866141732283472" top="1.5748031496062993" bottom="2.0078740157480315" header="0.31496062992125984" footer="0.31496062992125984"/>
  <pageSetup orientation="portrait" r:id="rId1"/>
  <ignoredErrors>
    <ignoredError sqref="F7:F12 F14 C14 C28:C30 C26:C27 C45 F41:F44 C46:C49 F46:F49 F51 C51 F23:F25 F22 F27:F28 F32 C32 F30" unlockedFormula="1"/>
    <ignoredError sqref="F45 F26" formula="1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6" tint="-0.499984740745262"/>
  </sheetPr>
  <dimension ref="B1:AK39"/>
  <sheetViews>
    <sheetView showGridLines="0" workbookViewId="0">
      <pane xSplit="7" ySplit="5" topLeftCell="H27" activePane="bottomRight" state="frozen"/>
      <selection pane="topRight" activeCell="H1" sqref="H1"/>
      <selection pane="bottomLeft" activeCell="A4" sqref="A4"/>
      <selection pane="bottomRight" activeCell="G36" sqref="G36"/>
    </sheetView>
  </sheetViews>
  <sheetFormatPr baseColWidth="10" defaultRowHeight="15" x14ac:dyDescent="0.25"/>
  <cols>
    <col min="1" max="1" width="1.140625" style="9" customWidth="1"/>
    <col min="2" max="2" width="16.140625" style="9" customWidth="1"/>
    <col min="3" max="3" width="14.5703125" style="9" customWidth="1"/>
    <col min="4" max="4" width="7.42578125" style="85" bestFit="1" customWidth="1"/>
    <col min="5" max="5" width="9.140625" style="9" bestFit="1" customWidth="1"/>
    <col min="6" max="6" width="8.28515625" style="9" bestFit="1" customWidth="1"/>
    <col min="7" max="7" width="19.140625" style="97" customWidth="1"/>
    <col min="8" max="8" width="17.140625" style="9" customWidth="1"/>
    <col min="9" max="11" width="13.28515625" style="9" bestFit="1" customWidth="1"/>
    <col min="12" max="13" width="14.28515625" style="9" bestFit="1" customWidth="1"/>
    <col min="14" max="21" width="13.28515625" style="9" bestFit="1" customWidth="1"/>
    <col min="22" max="22" width="14" style="9" bestFit="1" customWidth="1"/>
    <col min="23" max="23" width="14.28515625" style="9" bestFit="1" customWidth="1"/>
    <col min="24" max="26" width="13.28515625" style="9" bestFit="1" customWidth="1"/>
    <col min="27" max="27" width="14" style="9" bestFit="1" customWidth="1"/>
    <col min="28" max="28" width="13" style="9" bestFit="1" customWidth="1"/>
    <col min="29" max="29" width="14" style="9" bestFit="1" customWidth="1"/>
    <col min="30" max="30" width="13.28515625" style="9" bestFit="1" customWidth="1"/>
    <col min="31" max="37" width="14.28515625" style="9" bestFit="1" customWidth="1"/>
    <col min="38" max="16384" width="11.42578125" style="9"/>
  </cols>
  <sheetData>
    <row r="1" spans="2:37" x14ac:dyDescent="0.25">
      <c r="B1" s="29" t="s">
        <v>122</v>
      </c>
    </row>
    <row r="2" spans="2:37" x14ac:dyDescent="0.25">
      <c r="B2" s="29"/>
    </row>
    <row r="3" spans="2:37" x14ac:dyDescent="0.25">
      <c r="B3" s="29"/>
    </row>
    <row r="4" spans="2:37" ht="21" x14ac:dyDescent="0.35">
      <c r="B4" s="37" t="s">
        <v>34</v>
      </c>
      <c r="D4" s="223"/>
      <c r="E4" s="223"/>
      <c r="F4" s="223"/>
      <c r="G4" s="223"/>
      <c r="H4" s="224" t="s">
        <v>16</v>
      </c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  <c r="AF4" s="224"/>
      <c r="AG4" s="224"/>
      <c r="AH4" s="224"/>
      <c r="AI4" s="224"/>
      <c r="AJ4" s="224"/>
      <c r="AK4" s="224"/>
    </row>
    <row r="5" spans="2:37" ht="25.5" x14ac:dyDescent="0.25">
      <c r="B5" s="225" t="s">
        <v>18</v>
      </c>
      <c r="C5" s="226"/>
      <c r="D5" s="26" t="s">
        <v>19</v>
      </c>
      <c r="E5" s="27" t="s">
        <v>20</v>
      </c>
      <c r="F5" s="27" t="s">
        <v>21</v>
      </c>
      <c r="G5" s="98" t="s">
        <v>22</v>
      </c>
      <c r="H5" s="10">
        <v>1</v>
      </c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>
        <v>9</v>
      </c>
      <c r="Q5" s="10">
        <v>10</v>
      </c>
      <c r="R5" s="10">
        <v>11</v>
      </c>
      <c r="S5" s="10">
        <v>12</v>
      </c>
      <c r="T5" s="10">
        <v>13</v>
      </c>
      <c r="U5" s="10">
        <v>14</v>
      </c>
      <c r="V5" s="10">
        <v>15</v>
      </c>
      <c r="W5" s="10">
        <v>16</v>
      </c>
      <c r="X5" s="10">
        <v>17</v>
      </c>
      <c r="Y5" s="10">
        <v>18</v>
      </c>
      <c r="Z5" s="10">
        <v>19</v>
      </c>
      <c r="AA5" s="10">
        <v>20</v>
      </c>
      <c r="AB5" s="10">
        <v>21</v>
      </c>
      <c r="AC5" s="10">
        <v>22</v>
      </c>
      <c r="AD5" s="10">
        <v>23</v>
      </c>
      <c r="AE5" s="10">
        <v>24</v>
      </c>
      <c r="AF5" s="10">
        <v>25</v>
      </c>
      <c r="AG5" s="10">
        <v>26</v>
      </c>
      <c r="AH5" s="10">
        <v>27</v>
      </c>
      <c r="AI5" s="10">
        <v>28</v>
      </c>
      <c r="AJ5" s="10">
        <v>29</v>
      </c>
      <c r="AK5" s="10">
        <v>30</v>
      </c>
    </row>
    <row r="6" spans="2:37" ht="15.75" customHeight="1" x14ac:dyDescent="0.25">
      <c r="B6" s="227" t="s">
        <v>29</v>
      </c>
      <c r="C6" s="12" t="s">
        <v>93</v>
      </c>
      <c r="D6" s="15">
        <f>+'CI Na_LED_CMH'!C27</f>
        <v>228</v>
      </c>
      <c r="E6" s="94">
        <f>+'CI Na_LED_CMH'!D27</f>
        <v>15000</v>
      </c>
      <c r="F6" s="82">
        <v>0.04</v>
      </c>
      <c r="G6" s="99">
        <f>SUM(H6:AK6)</f>
        <v>69118628.834420621</v>
      </c>
      <c r="H6" s="28"/>
      <c r="I6" s="28"/>
      <c r="J6" s="28">
        <f>$D6*$E6*(1+$F6)^J$5</f>
        <v>3847034.8800000004</v>
      </c>
      <c r="K6" s="28"/>
      <c r="L6" s="28"/>
      <c r="M6" s="28">
        <f>$D6*$E6*(1+$F6)^M$5</f>
        <v>4327391.043256321</v>
      </c>
      <c r="N6" s="28"/>
      <c r="O6" s="28"/>
      <c r="P6" s="28">
        <f t="shared" ref="P6:P9" si="0">$D6*$E6*(1+$F6)^P$5</f>
        <v>4867726.3984814789</v>
      </c>
      <c r="Q6" s="28"/>
      <c r="R6" s="28"/>
      <c r="S6" s="28">
        <f t="shared" ref="S6:S9" si="1">$D6*$E6*(1+$F6)^S$5</f>
        <v>5475530.1875014715</v>
      </c>
      <c r="T6" s="28"/>
      <c r="U6" s="28"/>
      <c r="V6" s="28">
        <f t="shared" ref="V6:V9" si="2">$D6*$E6*(1+$F6)^V$5</f>
        <v>6159226.7888336554</v>
      </c>
      <c r="W6" s="28"/>
      <c r="X6" s="28"/>
      <c r="Y6" s="28">
        <f t="shared" ref="Y6:Y9" si="3">$D6*$E6*(1+$F6)^Y$5</f>
        <v>6928292.4825945832</v>
      </c>
      <c r="Z6" s="28"/>
      <c r="AA6" s="28"/>
      <c r="AB6" s="28">
        <f t="shared" ref="AB6:AB9" si="4">$D6*$E6*(1+$F6)^AB$5</f>
        <v>7793386.795141275</v>
      </c>
      <c r="AC6" s="28"/>
      <c r="AD6" s="28"/>
      <c r="AE6" s="28">
        <f t="shared" ref="AE6:AE9" si="5">$D6*$E6*(1+$F6)^AE$5</f>
        <v>8766500.2439297941</v>
      </c>
      <c r="AF6" s="28"/>
      <c r="AG6" s="28"/>
      <c r="AH6" s="28">
        <f t="shared" ref="AH6:AH9" si="6">$D6*$E6*(1+$F6)^AH$5</f>
        <v>9861120.5303878449</v>
      </c>
      <c r="AI6" s="28"/>
      <c r="AJ6" s="28"/>
      <c r="AK6" s="28">
        <f t="shared" ref="AK6:AK9" si="7">$D6*$E6*(1+$F6)^AK$5</f>
        <v>11092419.484294195</v>
      </c>
    </row>
    <row r="7" spans="2:37" ht="15.75" x14ac:dyDescent="0.25">
      <c r="B7" s="228"/>
      <c r="C7" s="12" t="s">
        <v>94</v>
      </c>
      <c r="D7" s="15">
        <f>+'CI Na_LED_CMH'!C28</f>
        <v>176</v>
      </c>
      <c r="E7" s="95">
        <f>+'CI Na_LED_CMH'!D28</f>
        <v>16900</v>
      </c>
      <c r="F7" s="82">
        <v>0.04</v>
      </c>
      <c r="G7" s="99">
        <f>SUM(H7:AK7)</f>
        <v>60112996.960555755</v>
      </c>
      <c r="H7" s="28"/>
      <c r="I7" s="28"/>
      <c r="J7" s="28">
        <f t="shared" ref="J7:J9" si="8">$D7*$E7*(1+$F7)^J$5</f>
        <v>3345795.4816000001</v>
      </c>
      <c r="K7" s="28"/>
      <c r="L7" s="28"/>
      <c r="M7" s="28">
        <f t="shared" ref="M7:M9" si="9">$D7*$E7*(1+$F7)^M$5</f>
        <v>3763564.8886145037</v>
      </c>
      <c r="N7" s="28"/>
      <c r="O7" s="28"/>
      <c r="P7" s="28">
        <f t="shared" si="0"/>
        <v>4233498.6548664654</v>
      </c>
      <c r="Q7" s="28"/>
      <c r="R7" s="28"/>
      <c r="S7" s="28">
        <f t="shared" si="1"/>
        <v>4762110.2309077121</v>
      </c>
      <c r="T7" s="28"/>
      <c r="U7" s="28"/>
      <c r="V7" s="28">
        <f t="shared" si="2"/>
        <v>5356726.3627797728</v>
      </c>
      <c r="W7" s="28"/>
      <c r="X7" s="28"/>
      <c r="Y7" s="28">
        <f t="shared" si="3"/>
        <v>6025588.6433419082</v>
      </c>
      <c r="Z7" s="28"/>
      <c r="AA7" s="28"/>
      <c r="AB7" s="28">
        <f t="shared" si="4"/>
        <v>6777967.7437041542</v>
      </c>
      <c r="AC7" s="28"/>
      <c r="AD7" s="28"/>
      <c r="AE7" s="28">
        <f t="shared" si="5"/>
        <v>7624291.9080540296</v>
      </c>
      <c r="AF7" s="28"/>
      <c r="AG7" s="28"/>
      <c r="AH7" s="28">
        <f t="shared" si="6"/>
        <v>8576291.4928612895</v>
      </c>
      <c r="AI7" s="28"/>
      <c r="AJ7" s="28"/>
      <c r="AK7" s="28">
        <f t="shared" si="7"/>
        <v>9647161.5538259223</v>
      </c>
    </row>
    <row r="8" spans="2:37" ht="15.75" x14ac:dyDescent="0.25">
      <c r="B8" s="228"/>
      <c r="C8" s="12" t="s">
        <v>95</v>
      </c>
      <c r="D8" s="15">
        <f>+'CI Na_LED_CMH'!C24</f>
        <v>6</v>
      </c>
      <c r="E8" s="95">
        <f>'CI Na_LED_CMH'!D29</f>
        <v>60000</v>
      </c>
      <c r="F8" s="82">
        <v>0.04</v>
      </c>
      <c r="G8" s="99">
        <f>SUM(H8:AK8)</f>
        <v>7275645.1404653275</v>
      </c>
      <c r="H8" s="28"/>
      <c r="I8" s="28"/>
      <c r="J8" s="28">
        <f t="shared" si="8"/>
        <v>404951.04000000004</v>
      </c>
      <c r="K8" s="28"/>
      <c r="L8" s="28"/>
      <c r="M8" s="28">
        <f t="shared" si="9"/>
        <v>455514.84665856016</v>
      </c>
      <c r="N8" s="28"/>
      <c r="O8" s="28"/>
      <c r="P8" s="28">
        <f t="shared" si="0"/>
        <v>512392.25247173465</v>
      </c>
      <c r="Q8" s="28"/>
      <c r="R8" s="28"/>
      <c r="S8" s="28">
        <f t="shared" si="1"/>
        <v>576371.5986843654</v>
      </c>
      <c r="T8" s="28"/>
      <c r="U8" s="28"/>
      <c r="V8" s="28">
        <f t="shared" si="2"/>
        <v>648339.66198248998</v>
      </c>
      <c r="W8" s="28"/>
      <c r="X8" s="28"/>
      <c r="Y8" s="28">
        <f t="shared" si="3"/>
        <v>729293.9455362719</v>
      </c>
      <c r="Z8" s="28"/>
      <c r="AA8" s="28"/>
      <c r="AB8" s="28">
        <f t="shared" si="4"/>
        <v>820356.50475171313</v>
      </c>
      <c r="AC8" s="28"/>
      <c r="AD8" s="28"/>
      <c r="AE8" s="28">
        <f t="shared" si="5"/>
        <v>922789.49936103099</v>
      </c>
      <c r="AF8" s="28"/>
      <c r="AG8" s="28"/>
      <c r="AH8" s="28">
        <f t="shared" si="6"/>
        <v>1038012.6874092469</v>
      </c>
      <c r="AI8" s="28"/>
      <c r="AJ8" s="28"/>
      <c r="AK8" s="28">
        <f t="shared" si="7"/>
        <v>1167623.1036099151</v>
      </c>
    </row>
    <row r="9" spans="2:37" ht="15.75" x14ac:dyDescent="0.25">
      <c r="B9" s="229"/>
      <c r="C9" s="12" t="s">
        <v>96</v>
      </c>
      <c r="D9" s="15">
        <f>'CI Na_LED_CMH'!C25</f>
        <v>198</v>
      </c>
      <c r="E9" s="95">
        <f>'CI Na_LED_CMH'!D30</f>
        <v>100000</v>
      </c>
      <c r="F9" s="82">
        <v>0.04</v>
      </c>
      <c r="G9" s="99">
        <f>SUM(H9:AK9)</f>
        <v>400160482.72559309</v>
      </c>
      <c r="H9" s="28"/>
      <c r="I9" s="28"/>
      <c r="J9" s="28">
        <f t="shared" si="8"/>
        <v>22272307.200000003</v>
      </c>
      <c r="K9" s="28"/>
      <c r="L9" s="28"/>
      <c r="M9" s="28">
        <f t="shared" si="9"/>
        <v>25053316.566220809</v>
      </c>
      <c r="N9" s="28"/>
      <c r="O9" s="28"/>
      <c r="P9" s="28">
        <f t="shared" si="0"/>
        <v>28181573.885945406</v>
      </c>
      <c r="Q9" s="28"/>
      <c r="R9" s="28"/>
      <c r="S9" s="28">
        <f t="shared" si="1"/>
        <v>31700437.927640099</v>
      </c>
      <c r="T9" s="28"/>
      <c r="U9" s="28"/>
      <c r="V9" s="28">
        <f t="shared" si="2"/>
        <v>35658681.409036949</v>
      </c>
      <c r="W9" s="28"/>
      <c r="X9" s="28"/>
      <c r="Y9" s="28">
        <f t="shared" si="3"/>
        <v>40111167.00449495</v>
      </c>
      <c r="Z9" s="28"/>
      <c r="AA9" s="28"/>
      <c r="AB9" s="28">
        <f t="shared" si="4"/>
        <v>45119607.761344224</v>
      </c>
      <c r="AC9" s="28"/>
      <c r="AD9" s="28"/>
      <c r="AE9" s="28">
        <f t="shared" si="5"/>
        <v>50753422.464856707</v>
      </c>
      <c r="AF9" s="28"/>
      <c r="AG9" s="28"/>
      <c r="AH9" s="28">
        <f t="shared" si="6"/>
        <v>57090697.80750858</v>
      </c>
      <c r="AI9" s="28"/>
      <c r="AJ9" s="28"/>
      <c r="AK9" s="28">
        <f t="shared" si="7"/>
        <v>64219270.698545337</v>
      </c>
    </row>
    <row r="10" spans="2:37" x14ac:dyDescent="0.25">
      <c r="B10" s="16" t="s">
        <v>23</v>
      </c>
      <c r="C10" s="17"/>
      <c r="D10" s="83"/>
      <c r="E10" s="18"/>
      <c r="F10" s="18"/>
      <c r="G10" s="100">
        <f>SUM(G6:G9)</f>
        <v>536667753.66103482</v>
      </c>
      <c r="H10" s="19">
        <f>SUM(H6:H8)</f>
        <v>0</v>
      </c>
      <c r="I10" s="19">
        <f>SUM(I6:I8)</f>
        <v>0</v>
      </c>
      <c r="J10" s="19">
        <f>SUM(J6:J9)</f>
        <v>29870088.601600002</v>
      </c>
      <c r="K10" s="19">
        <f>SUM(K6:K8)</f>
        <v>0</v>
      </c>
      <c r="L10" s="19">
        <f>SUM(L6:L8)</f>
        <v>0</v>
      </c>
      <c r="M10" s="19">
        <f>SUM(M6:M9)</f>
        <v>33599787.344750196</v>
      </c>
      <c r="N10" s="19">
        <f>SUM(N6:N8)</f>
        <v>0</v>
      </c>
      <c r="O10" s="19">
        <f>SUM(O6:O8)</f>
        <v>0</v>
      </c>
      <c r="P10" s="19">
        <f>SUM(P6:P9)</f>
        <v>37795191.191765085</v>
      </c>
      <c r="Q10" s="19">
        <f>SUM(Q6:Q8)</f>
        <v>0</v>
      </c>
      <c r="R10" s="19">
        <f>SUM(R6:R8)</f>
        <v>0</v>
      </c>
      <c r="S10" s="19">
        <f>SUM(S6:S9)</f>
        <v>42514449.944733649</v>
      </c>
      <c r="T10" s="19">
        <f>SUM(T6:T8)</f>
        <v>0</v>
      </c>
      <c r="U10" s="19"/>
      <c r="V10" s="19">
        <f>SUM(V6:V9)</f>
        <v>47822974.22263287</v>
      </c>
      <c r="W10" s="19">
        <f>SUM(W6:W8)</f>
        <v>0</v>
      </c>
      <c r="X10" s="19">
        <f>SUM(X6:X8)</f>
        <v>0</v>
      </c>
      <c r="Y10" s="19">
        <f>SUM(Y6:Y9)</f>
        <v>53794342.075967714</v>
      </c>
      <c r="Z10" s="19">
        <f t="shared" ref="Z10:AC10" si="10">SUM(Z6:Z9)</f>
        <v>0</v>
      </c>
      <c r="AA10" s="19">
        <f t="shared" si="10"/>
        <v>0</v>
      </c>
      <c r="AB10" s="19">
        <f t="shared" si="10"/>
        <v>60511318.804941371</v>
      </c>
      <c r="AC10" s="19">
        <f t="shared" si="10"/>
        <v>0</v>
      </c>
      <c r="AD10" s="19">
        <f t="shared" ref="AD10" si="11">SUM(AD6:AD9)</f>
        <v>0</v>
      </c>
      <c r="AE10" s="19">
        <f t="shared" ref="AE10" si="12">SUM(AE6:AE9)</f>
        <v>68067004.116201565</v>
      </c>
      <c r="AF10" s="19">
        <f t="shared" ref="AF10:AG10" si="13">SUM(AF6:AF9)</f>
        <v>0</v>
      </c>
      <c r="AG10" s="19">
        <f t="shared" si="13"/>
        <v>0</v>
      </c>
      <c r="AH10" s="19">
        <f t="shared" ref="AH10" si="14">SUM(AH6:AH9)</f>
        <v>76566122.518166959</v>
      </c>
      <c r="AI10" s="19">
        <f t="shared" ref="AI10" si="15">SUM(AI6:AI9)</f>
        <v>0</v>
      </c>
      <c r="AJ10" s="19">
        <f t="shared" ref="AJ10:AK10" si="16">SUM(AJ6:AJ9)</f>
        <v>0</v>
      </c>
      <c r="AK10" s="19">
        <f t="shared" si="16"/>
        <v>86126474.840275377</v>
      </c>
    </row>
    <row r="11" spans="2:37" x14ac:dyDescent="0.25">
      <c r="B11" s="20"/>
      <c r="C11" s="20"/>
      <c r="D11" s="86"/>
      <c r="E11" s="20"/>
      <c r="F11" s="20"/>
      <c r="G11" s="10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</row>
    <row r="12" spans="2:37" ht="15.75" customHeight="1" x14ac:dyDescent="0.25">
      <c r="B12" s="227" t="s">
        <v>28</v>
      </c>
      <c r="C12" s="12" t="str">
        <f>C6</f>
        <v xml:space="preserve">150 W </v>
      </c>
      <c r="D12" s="15">
        <f>+D6</f>
        <v>228</v>
      </c>
      <c r="E12" s="95">
        <v>38400</v>
      </c>
      <c r="F12" s="82">
        <v>0.04</v>
      </c>
      <c r="G12" s="99">
        <f>SUM(H12:AK12)</f>
        <v>110299740.30494177</v>
      </c>
      <c r="H12" s="28"/>
      <c r="I12" s="28"/>
      <c r="J12" s="28"/>
      <c r="K12" s="28"/>
      <c r="L12" s="28">
        <f>$D12*$E12*(1+$F12)^L$5</f>
        <v>10652039.491092483</v>
      </c>
      <c r="M12" s="28"/>
      <c r="N12" s="28"/>
      <c r="O12" s="28"/>
      <c r="P12" s="28"/>
      <c r="Q12" s="28">
        <f>$D12*$E12*(1+$F12)^Q$5</f>
        <v>12959834.763317091</v>
      </c>
      <c r="R12" s="28"/>
      <c r="S12" s="28"/>
      <c r="T12" s="28"/>
      <c r="U12" s="28"/>
      <c r="V12" s="28">
        <f>$D12*$E12*(1+$F12)^V$5</f>
        <v>15767620.579414157</v>
      </c>
      <c r="W12" s="28"/>
      <c r="X12" s="28"/>
      <c r="Y12" s="28"/>
      <c r="Z12" s="28"/>
      <c r="AA12" s="28">
        <f>$D12*$E12*(1+$F12)^AA$5</f>
        <v>19183721.341886211</v>
      </c>
      <c r="AB12" s="28"/>
      <c r="AC12" s="28"/>
      <c r="AD12" s="28"/>
      <c r="AE12" s="28"/>
      <c r="AF12" s="28">
        <f>$D12*$E12*(1+$F12)^AF$5</f>
        <v>23339930.249438688</v>
      </c>
      <c r="AG12" s="28"/>
      <c r="AH12" s="28"/>
      <c r="AI12" s="28"/>
      <c r="AJ12" s="28"/>
      <c r="AK12" s="28">
        <f>$D12*$E12*(1+$F12)^AK$5</f>
        <v>28396593.879793137</v>
      </c>
    </row>
    <row r="13" spans="2:37" ht="15.75" x14ac:dyDescent="0.25">
      <c r="B13" s="228"/>
      <c r="C13" s="12" t="str">
        <f>C7</f>
        <v>250 W</v>
      </c>
      <c r="D13" s="15">
        <f>+D7</f>
        <v>176</v>
      </c>
      <c r="E13" s="95">
        <v>56200</v>
      </c>
      <c r="F13" s="82">
        <v>0.04</v>
      </c>
      <c r="G13" s="99">
        <f>SUM(H13:AK13)</f>
        <v>124611292.86643822</v>
      </c>
      <c r="H13" s="28"/>
      <c r="I13" s="28"/>
      <c r="J13" s="28"/>
      <c r="K13" s="28"/>
      <c r="L13" s="28">
        <f t="shared" ref="L13" si="17">$D13*$E13*(1+$F13)^L$5</f>
        <v>12034157.188218884</v>
      </c>
      <c r="M13" s="28"/>
      <c r="N13" s="28"/>
      <c r="O13" s="28"/>
      <c r="P13" s="28"/>
      <c r="Q13" s="28">
        <f t="shared" ref="Q13:Q15" si="18">$D13*$E13*(1+$F13)^Q$5</f>
        <v>14641392.270984329</v>
      </c>
      <c r="R13" s="28"/>
      <c r="S13" s="28"/>
      <c r="T13" s="28"/>
      <c r="U13" s="28"/>
      <c r="V13" s="28">
        <f t="shared" ref="V13:V15" si="19">$D13*$E13*(1+$F13)^V$5</f>
        <v>17813492.401670016</v>
      </c>
      <c r="W13" s="28"/>
      <c r="X13" s="28"/>
      <c r="Y13" s="28"/>
      <c r="Z13" s="28"/>
      <c r="AA13" s="28">
        <f t="shared" ref="AA13:AA15" si="20">$D13*$E13*(1+$F13)^AA$5</f>
        <v>21672837.232372176</v>
      </c>
      <c r="AB13" s="28"/>
      <c r="AC13" s="28"/>
      <c r="AD13" s="28"/>
      <c r="AE13" s="28"/>
      <c r="AF13" s="28">
        <f t="shared" ref="AF13:AF15" si="21">$D13*$E13*(1+$F13)^AF$5</f>
        <v>26368320.322008401</v>
      </c>
      <c r="AG13" s="28"/>
      <c r="AH13" s="28"/>
      <c r="AI13" s="28"/>
      <c r="AJ13" s="28"/>
      <c r="AK13" s="28">
        <f t="shared" ref="AK13:AK15" si="22">$D13*$E13*(1+$F13)^AK$5</f>
        <v>32081093.451184426</v>
      </c>
    </row>
    <row r="14" spans="2:37" ht="15.75" x14ac:dyDescent="0.25">
      <c r="B14" s="228"/>
      <c r="C14" s="12" t="str">
        <f>C8</f>
        <v xml:space="preserve">250W-CMH </v>
      </c>
      <c r="D14" s="15">
        <f>+D8</f>
        <v>6</v>
      </c>
      <c r="E14" s="95">
        <v>48500</v>
      </c>
      <c r="F14" s="82">
        <v>0.04</v>
      </c>
      <c r="G14" s="99">
        <f>SUM(H14:AK14)</f>
        <v>3666075.5241157315</v>
      </c>
      <c r="H14" s="28"/>
      <c r="I14" s="28"/>
      <c r="J14" s="28"/>
      <c r="K14" s="28"/>
      <c r="L14" s="28">
        <f>$D14*$E14*(1+$F14)^L$5</f>
        <v>354045.99459840008</v>
      </c>
      <c r="M14" s="28"/>
      <c r="N14" s="28"/>
      <c r="O14" s="28"/>
      <c r="P14" s="28"/>
      <c r="Q14" s="28">
        <f t="shared" si="18"/>
        <v>430751.08691123826</v>
      </c>
      <c r="R14" s="28"/>
      <c r="S14" s="28"/>
      <c r="T14" s="28"/>
      <c r="U14" s="28"/>
      <c r="V14" s="28">
        <f t="shared" si="19"/>
        <v>524074.56010251277</v>
      </c>
      <c r="W14" s="28"/>
      <c r="X14" s="28"/>
      <c r="Y14" s="28"/>
      <c r="Z14" s="28"/>
      <c r="AA14" s="28">
        <f t="shared" si="20"/>
        <v>637616.83462272561</v>
      </c>
      <c r="AB14" s="28"/>
      <c r="AC14" s="28"/>
      <c r="AD14" s="28"/>
      <c r="AE14" s="28"/>
      <c r="AF14" s="28">
        <f t="shared" si="21"/>
        <v>775758.37246284017</v>
      </c>
      <c r="AG14" s="28"/>
      <c r="AH14" s="28"/>
      <c r="AI14" s="28"/>
      <c r="AJ14" s="28"/>
      <c r="AK14" s="28">
        <f t="shared" si="22"/>
        <v>943828.67541801475</v>
      </c>
    </row>
    <row r="15" spans="2:37" ht="15.75" x14ac:dyDescent="0.25">
      <c r="B15" s="229"/>
      <c r="C15" s="12" t="str">
        <f>C9</f>
        <v>400W-CMH</v>
      </c>
      <c r="D15" s="15">
        <f>D9</f>
        <v>198</v>
      </c>
      <c r="E15" s="95">
        <v>60000</v>
      </c>
      <c r="F15" s="82">
        <v>0.04</v>
      </c>
      <c r="G15" s="99">
        <f>SUM(H15:AK15)</f>
        <v>149666588.40719894</v>
      </c>
      <c r="H15" s="28"/>
      <c r="I15" s="28"/>
      <c r="J15" s="28"/>
      <c r="K15" s="28"/>
      <c r="L15" s="28">
        <f>$D15*$E15*(1+$F15)^L$5</f>
        <v>14453836.480512004</v>
      </c>
      <c r="M15" s="28"/>
      <c r="N15" s="28"/>
      <c r="O15" s="28"/>
      <c r="P15" s="28"/>
      <c r="Q15" s="28">
        <f t="shared" si="18"/>
        <v>17585302.104829933</v>
      </c>
      <c r="R15" s="28"/>
      <c r="S15" s="28"/>
      <c r="T15" s="28"/>
      <c r="U15" s="28"/>
      <c r="V15" s="28">
        <f t="shared" si="19"/>
        <v>21395208.845422171</v>
      </c>
      <c r="W15" s="28"/>
      <c r="X15" s="28"/>
      <c r="Y15" s="28"/>
      <c r="Z15" s="28"/>
      <c r="AA15" s="28">
        <f t="shared" si="20"/>
        <v>26030542.939237043</v>
      </c>
      <c r="AB15" s="28"/>
      <c r="AC15" s="28"/>
      <c r="AD15" s="28"/>
      <c r="AE15" s="28"/>
      <c r="AF15" s="28">
        <f t="shared" si="21"/>
        <v>31670135.618070591</v>
      </c>
      <c r="AG15" s="28"/>
      <c r="AH15" s="28"/>
      <c r="AI15" s="28"/>
      <c r="AJ15" s="28"/>
      <c r="AK15" s="28">
        <f t="shared" si="22"/>
        <v>38531562.419127204</v>
      </c>
    </row>
    <row r="16" spans="2:37" x14ac:dyDescent="0.25">
      <c r="B16" s="23" t="s">
        <v>50</v>
      </c>
      <c r="C16" s="24"/>
      <c r="D16" s="84"/>
      <c r="E16" s="25"/>
      <c r="F16" s="25"/>
      <c r="G16" s="100">
        <f>SUM(G12:G15)</f>
        <v>388243697.10269463</v>
      </c>
      <c r="H16" s="19"/>
      <c r="I16" s="19"/>
      <c r="J16" s="19"/>
      <c r="K16" s="19"/>
      <c r="L16" s="19">
        <f>SUM(L12:L15)</f>
        <v>37494079.154421769</v>
      </c>
      <c r="M16" s="19">
        <f t="shared" ref="M16:P16" si="23">SUM(M12:M15)</f>
        <v>0</v>
      </c>
      <c r="N16" s="19">
        <f t="shared" si="23"/>
        <v>0</v>
      </c>
      <c r="O16" s="19">
        <f t="shared" si="23"/>
        <v>0</v>
      </c>
      <c r="P16" s="19">
        <f t="shared" si="23"/>
        <v>0</v>
      </c>
      <c r="Q16" s="19">
        <f>SUM(Q12:Q15)</f>
        <v>45617280.226042598</v>
      </c>
      <c r="R16" s="19">
        <f t="shared" ref="R16:AK16" si="24">SUM(R12:R15)</f>
        <v>0</v>
      </c>
      <c r="S16" s="19">
        <f t="shared" si="24"/>
        <v>0</v>
      </c>
      <c r="T16" s="19">
        <f t="shared" si="24"/>
        <v>0</v>
      </c>
      <c r="U16" s="19">
        <f t="shared" si="24"/>
        <v>0</v>
      </c>
      <c r="V16" s="19">
        <f t="shared" si="24"/>
        <v>55500396.386608861</v>
      </c>
      <c r="W16" s="19">
        <f t="shared" si="24"/>
        <v>0</v>
      </c>
      <c r="X16" s="19">
        <f t="shared" si="24"/>
        <v>0</v>
      </c>
      <c r="Y16" s="19">
        <f t="shared" si="24"/>
        <v>0</v>
      </c>
      <c r="Z16" s="19">
        <f t="shared" si="24"/>
        <v>0</v>
      </c>
      <c r="AA16" s="19">
        <f t="shared" si="24"/>
        <v>67524718.348118156</v>
      </c>
      <c r="AB16" s="19">
        <f t="shared" si="24"/>
        <v>0</v>
      </c>
      <c r="AC16" s="19">
        <f t="shared" si="24"/>
        <v>0</v>
      </c>
      <c r="AD16" s="19">
        <f t="shared" si="24"/>
        <v>0</v>
      </c>
      <c r="AE16" s="19">
        <f t="shared" si="24"/>
        <v>0</v>
      </c>
      <c r="AF16" s="19">
        <f t="shared" si="24"/>
        <v>82154144.561980516</v>
      </c>
      <c r="AG16" s="19">
        <f t="shared" si="24"/>
        <v>0</v>
      </c>
      <c r="AH16" s="19">
        <f t="shared" si="24"/>
        <v>0</v>
      </c>
      <c r="AI16" s="19">
        <f t="shared" si="24"/>
        <v>0</v>
      </c>
      <c r="AJ16" s="19">
        <f t="shared" si="24"/>
        <v>0</v>
      </c>
      <c r="AK16" s="19">
        <f t="shared" si="24"/>
        <v>99953078.425522774</v>
      </c>
    </row>
    <row r="17" spans="2:37" x14ac:dyDescent="0.25">
      <c r="B17" s="20"/>
      <c r="C17" s="20"/>
      <c r="D17" s="86"/>
      <c r="E17" s="20"/>
      <c r="F17" s="20"/>
      <c r="G17" s="10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</row>
    <row r="18" spans="2:37" ht="15.75" customHeight="1" x14ac:dyDescent="0.25">
      <c r="B18" s="227" t="s">
        <v>25</v>
      </c>
      <c r="C18" s="12" t="str">
        <f>C6</f>
        <v xml:space="preserve">150 W </v>
      </c>
      <c r="D18" s="15">
        <f>+D6</f>
        <v>228</v>
      </c>
      <c r="E18" s="95">
        <v>2100</v>
      </c>
      <c r="F18" s="82">
        <v>0.04</v>
      </c>
      <c r="G18" s="99">
        <f>SUM(H18:AK18)</f>
        <v>27927606.922830842</v>
      </c>
      <c r="H18" s="28">
        <f>$D18*$E18*(1+$F18)^H$5</f>
        <v>497952</v>
      </c>
      <c r="I18" s="28">
        <f>$D18*$E18*(1+$F18)^I$5</f>
        <v>517870.08000000007</v>
      </c>
      <c r="J18" s="28">
        <f t="shared" ref="J18:AK21" si="25">$D18*$E18*(1+$F18)^J$5</f>
        <v>538584.88320000004</v>
      </c>
      <c r="K18" s="28">
        <f t="shared" si="25"/>
        <v>560128.27852800011</v>
      </c>
      <c r="L18" s="28">
        <f t="shared" si="25"/>
        <v>582533.40966912021</v>
      </c>
      <c r="M18" s="28">
        <f t="shared" si="25"/>
        <v>605834.74605588499</v>
      </c>
      <c r="N18" s="28">
        <f t="shared" si="25"/>
        <v>630068.13589812035</v>
      </c>
      <c r="O18" s="28">
        <f t="shared" si="25"/>
        <v>655270.86133404518</v>
      </c>
      <c r="P18" s="28">
        <f t="shared" si="25"/>
        <v>681481.69578740711</v>
      </c>
      <c r="Q18" s="28">
        <f t="shared" si="25"/>
        <v>708740.96361890342</v>
      </c>
      <c r="R18" s="28">
        <f t="shared" si="25"/>
        <v>737090.60216365953</v>
      </c>
      <c r="S18" s="28">
        <f t="shared" si="25"/>
        <v>766574.226250206</v>
      </c>
      <c r="T18" s="28">
        <f t="shared" si="25"/>
        <v>797237.19530021423</v>
      </c>
      <c r="U18" s="28">
        <f t="shared" si="25"/>
        <v>829126.68311222282</v>
      </c>
      <c r="V18" s="28">
        <f t="shared" si="25"/>
        <v>862291.75043671171</v>
      </c>
      <c r="W18" s="28">
        <f t="shared" si="25"/>
        <v>896783.42045418033</v>
      </c>
      <c r="X18" s="28">
        <f t="shared" si="25"/>
        <v>932654.75727234758</v>
      </c>
      <c r="Y18" s="28">
        <f t="shared" si="25"/>
        <v>969960.94756324159</v>
      </c>
      <c r="Z18" s="28">
        <f t="shared" si="25"/>
        <v>1008759.3854657712</v>
      </c>
      <c r="AA18" s="28">
        <f t="shared" si="25"/>
        <v>1049109.7608844021</v>
      </c>
      <c r="AB18" s="28">
        <f t="shared" si="25"/>
        <v>1091074.1513197785</v>
      </c>
      <c r="AC18" s="28">
        <f t="shared" si="25"/>
        <v>1134717.1173725696</v>
      </c>
      <c r="AD18" s="28">
        <f t="shared" si="25"/>
        <v>1180105.8020674721</v>
      </c>
      <c r="AE18" s="28">
        <f t="shared" si="25"/>
        <v>1227310.0341501711</v>
      </c>
      <c r="AF18" s="28">
        <f t="shared" si="25"/>
        <v>1276402.4355161784</v>
      </c>
      <c r="AG18" s="28">
        <f t="shared" si="25"/>
        <v>1327458.5329368252</v>
      </c>
      <c r="AH18" s="28">
        <f t="shared" si="25"/>
        <v>1380556.8742542984</v>
      </c>
      <c r="AI18" s="28">
        <f t="shared" si="25"/>
        <v>1435779.1492244706</v>
      </c>
      <c r="AJ18" s="28">
        <f t="shared" si="25"/>
        <v>1493210.3151934494</v>
      </c>
      <c r="AK18" s="28">
        <f t="shared" si="25"/>
        <v>1552938.7278011872</v>
      </c>
    </row>
    <row r="19" spans="2:37" ht="15.75" x14ac:dyDescent="0.25">
      <c r="B19" s="228"/>
      <c r="C19" s="12" t="str">
        <f t="shared" ref="C19:C20" si="26">C7</f>
        <v>250 W</v>
      </c>
      <c r="D19" s="15">
        <f>+D7</f>
        <v>176</v>
      </c>
      <c r="E19" s="95">
        <v>2100</v>
      </c>
      <c r="F19" s="82">
        <v>0.04</v>
      </c>
      <c r="G19" s="99">
        <f>SUM(H19:AK19)</f>
        <v>21558152.71236065</v>
      </c>
      <c r="H19" s="28">
        <f t="shared" ref="H19:W21" si="27">$D19*$E19*(1+$F19)^H$5</f>
        <v>384384</v>
      </c>
      <c r="I19" s="28">
        <f t="shared" si="27"/>
        <v>399759.36000000004</v>
      </c>
      <c r="J19" s="28">
        <f t="shared" si="25"/>
        <v>415749.73440000002</v>
      </c>
      <c r="K19" s="28">
        <f t="shared" si="25"/>
        <v>432379.72377600009</v>
      </c>
      <c r="L19" s="28">
        <f t="shared" si="25"/>
        <v>449674.91272704012</v>
      </c>
      <c r="M19" s="28">
        <f t="shared" si="25"/>
        <v>467661.90923612175</v>
      </c>
      <c r="N19" s="28">
        <f t="shared" si="25"/>
        <v>486368.38560556655</v>
      </c>
      <c r="O19" s="28">
        <f t="shared" si="25"/>
        <v>505823.12102978933</v>
      </c>
      <c r="P19" s="28">
        <f t="shared" si="25"/>
        <v>526056.04587098095</v>
      </c>
      <c r="Q19" s="28">
        <f t="shared" si="25"/>
        <v>547098.28770582017</v>
      </c>
      <c r="R19" s="28">
        <f t="shared" si="25"/>
        <v>568982.21921405289</v>
      </c>
      <c r="S19" s="28">
        <f t="shared" si="25"/>
        <v>591741.50798261515</v>
      </c>
      <c r="T19" s="28">
        <f t="shared" si="25"/>
        <v>615411.16830191982</v>
      </c>
      <c r="U19" s="28">
        <f t="shared" si="25"/>
        <v>640027.61503399652</v>
      </c>
      <c r="V19" s="28">
        <f t="shared" si="25"/>
        <v>665628.71963535645</v>
      </c>
      <c r="W19" s="28">
        <f t="shared" si="25"/>
        <v>692253.86842077074</v>
      </c>
      <c r="X19" s="28">
        <f t="shared" si="25"/>
        <v>719944.02315760171</v>
      </c>
      <c r="Y19" s="28">
        <f t="shared" si="25"/>
        <v>748741.78408390586</v>
      </c>
      <c r="Z19" s="28">
        <f t="shared" si="25"/>
        <v>778691.45544726204</v>
      </c>
      <c r="AA19" s="28">
        <f t="shared" si="25"/>
        <v>809839.11366515246</v>
      </c>
      <c r="AB19" s="28">
        <f t="shared" si="25"/>
        <v>842232.67821175884</v>
      </c>
      <c r="AC19" s="28">
        <f t="shared" si="25"/>
        <v>875921.98534022912</v>
      </c>
      <c r="AD19" s="28">
        <f t="shared" si="25"/>
        <v>910958.86475383816</v>
      </c>
      <c r="AE19" s="28">
        <f t="shared" si="25"/>
        <v>947397.21934399183</v>
      </c>
      <c r="AF19" s="28">
        <f t="shared" si="25"/>
        <v>985293.10811775166</v>
      </c>
      <c r="AG19" s="28">
        <f t="shared" si="25"/>
        <v>1024704.8324424616</v>
      </c>
      <c r="AH19" s="28">
        <f t="shared" si="25"/>
        <v>1065693.0257401601</v>
      </c>
      <c r="AI19" s="28">
        <f t="shared" si="25"/>
        <v>1108320.7467697668</v>
      </c>
      <c r="AJ19" s="28">
        <f t="shared" si="25"/>
        <v>1152653.5766405575</v>
      </c>
      <c r="AK19" s="28">
        <f t="shared" si="25"/>
        <v>1198759.7197061796</v>
      </c>
    </row>
    <row r="20" spans="2:37" ht="15.75" x14ac:dyDescent="0.25">
      <c r="B20" s="228"/>
      <c r="C20" s="12" t="str">
        <f t="shared" si="26"/>
        <v xml:space="preserve">250W-CMH </v>
      </c>
      <c r="D20" s="15">
        <f>+D8</f>
        <v>6</v>
      </c>
      <c r="E20" s="95">
        <v>2100</v>
      </c>
      <c r="F20" s="82">
        <v>0.04</v>
      </c>
      <c r="G20" s="99">
        <f>SUM(H20:AK20)</f>
        <v>734937.02428502205</v>
      </c>
      <c r="H20" s="28">
        <f t="shared" si="27"/>
        <v>13104</v>
      </c>
      <c r="I20" s="28">
        <f t="shared" si="27"/>
        <v>13628.160000000002</v>
      </c>
      <c r="J20" s="28">
        <f t="shared" si="25"/>
        <v>14173.286400000001</v>
      </c>
      <c r="K20" s="28">
        <f t="shared" si="25"/>
        <v>14740.217856000003</v>
      </c>
      <c r="L20" s="28">
        <f t="shared" si="25"/>
        <v>15329.826570240004</v>
      </c>
      <c r="M20" s="28">
        <f t="shared" si="25"/>
        <v>15943.019633049606</v>
      </c>
      <c r="N20" s="28">
        <f t="shared" si="25"/>
        <v>16580.740418371588</v>
      </c>
      <c r="O20" s="28">
        <f t="shared" si="25"/>
        <v>17243.970035106453</v>
      </c>
      <c r="P20" s="28">
        <f t="shared" si="25"/>
        <v>17933.728836510712</v>
      </c>
      <c r="Q20" s="28">
        <f t="shared" si="25"/>
        <v>18651.077989971142</v>
      </c>
      <c r="R20" s="28">
        <f t="shared" si="25"/>
        <v>19397.121109569987</v>
      </c>
      <c r="S20" s="28">
        <f t="shared" si="25"/>
        <v>20173.00595395279</v>
      </c>
      <c r="T20" s="28">
        <f t="shared" si="25"/>
        <v>20979.926192110903</v>
      </c>
      <c r="U20" s="28">
        <f t="shared" si="25"/>
        <v>21819.123239795339</v>
      </c>
      <c r="V20" s="28">
        <f t="shared" si="25"/>
        <v>22691.888169387152</v>
      </c>
      <c r="W20" s="28">
        <f t="shared" si="25"/>
        <v>23599.563696162641</v>
      </c>
      <c r="X20" s="28">
        <f t="shared" si="25"/>
        <v>24543.546244009147</v>
      </c>
      <c r="Y20" s="28">
        <f t="shared" si="25"/>
        <v>25525.288093769515</v>
      </c>
      <c r="Z20" s="28">
        <f t="shared" si="25"/>
        <v>26546.299617520297</v>
      </c>
      <c r="AA20" s="28">
        <f t="shared" si="25"/>
        <v>27608.151602221107</v>
      </c>
      <c r="AB20" s="28">
        <f t="shared" si="25"/>
        <v>28712.477666309958</v>
      </c>
      <c r="AC20" s="28">
        <f t="shared" si="25"/>
        <v>29860.976772962356</v>
      </c>
      <c r="AD20" s="28">
        <f t="shared" si="25"/>
        <v>31055.415843880848</v>
      </c>
      <c r="AE20" s="28">
        <f t="shared" si="25"/>
        <v>32297.632477636085</v>
      </c>
      <c r="AF20" s="28">
        <f t="shared" si="25"/>
        <v>33589.537776741534</v>
      </c>
      <c r="AG20" s="28">
        <f t="shared" si="25"/>
        <v>34933.119287811191</v>
      </c>
      <c r="AH20" s="28">
        <f t="shared" si="25"/>
        <v>36330.444059323643</v>
      </c>
      <c r="AI20" s="28">
        <f t="shared" si="25"/>
        <v>37783.661821696594</v>
      </c>
      <c r="AJ20" s="28">
        <f t="shared" si="25"/>
        <v>39295.008294564461</v>
      </c>
      <c r="AK20" s="28">
        <f t="shared" si="25"/>
        <v>40866.808626347032</v>
      </c>
    </row>
    <row r="21" spans="2:37" ht="15.75" x14ac:dyDescent="0.25">
      <c r="B21" s="229"/>
      <c r="C21" s="12" t="str">
        <f>C9</f>
        <v>400W-CMH</v>
      </c>
      <c r="D21" s="15">
        <f>D9</f>
        <v>198</v>
      </c>
      <c r="E21" s="95">
        <v>2100</v>
      </c>
      <c r="F21" s="82">
        <v>0.04</v>
      </c>
      <c r="G21" s="99">
        <f>SUM(H21:AK21)</f>
        <v>24252921.801405728</v>
      </c>
      <c r="H21" s="28">
        <f>$D21*$E21*(1+$F21)^H$5</f>
        <v>432432</v>
      </c>
      <c r="I21" s="28">
        <f t="shared" si="27"/>
        <v>449729.28000000003</v>
      </c>
      <c r="J21" s="28">
        <f t="shared" si="27"/>
        <v>467718.45120000001</v>
      </c>
      <c r="K21" s="28">
        <f t="shared" si="27"/>
        <v>486427.1892480001</v>
      </c>
      <c r="L21" s="28">
        <f t="shared" si="27"/>
        <v>505884.27681792015</v>
      </c>
      <c r="M21" s="28">
        <f t="shared" si="27"/>
        <v>526119.64789063693</v>
      </c>
      <c r="N21" s="28">
        <f t="shared" si="27"/>
        <v>547164.43380626233</v>
      </c>
      <c r="O21" s="28">
        <f t="shared" si="27"/>
        <v>569051.01115851302</v>
      </c>
      <c r="P21" s="28">
        <f t="shared" si="27"/>
        <v>591813.05160485359</v>
      </c>
      <c r="Q21" s="28">
        <f t="shared" si="27"/>
        <v>615485.57366904768</v>
      </c>
      <c r="R21" s="28">
        <f t="shared" si="27"/>
        <v>640104.9966158095</v>
      </c>
      <c r="S21" s="28">
        <f t="shared" si="27"/>
        <v>665709.19648044207</v>
      </c>
      <c r="T21" s="28">
        <f t="shared" si="27"/>
        <v>692337.56433965976</v>
      </c>
      <c r="U21" s="28">
        <f t="shared" si="27"/>
        <v>720031.06691324618</v>
      </c>
      <c r="V21" s="28">
        <f t="shared" si="27"/>
        <v>748832.30958977598</v>
      </c>
      <c r="W21" s="28">
        <f t="shared" si="27"/>
        <v>778785.60197336716</v>
      </c>
      <c r="X21" s="28">
        <f t="shared" si="25"/>
        <v>809937.02605230187</v>
      </c>
      <c r="Y21" s="28">
        <f t="shared" si="25"/>
        <v>842334.50709439407</v>
      </c>
      <c r="Z21" s="28">
        <f t="shared" si="25"/>
        <v>876027.88737816981</v>
      </c>
      <c r="AA21" s="28">
        <f t="shared" si="25"/>
        <v>911069.00287329662</v>
      </c>
      <c r="AB21" s="28">
        <f t="shared" si="25"/>
        <v>947511.7629882287</v>
      </c>
      <c r="AC21" s="28">
        <f t="shared" si="25"/>
        <v>985412.23350775777</v>
      </c>
      <c r="AD21" s="28">
        <f t="shared" si="25"/>
        <v>1024828.722848068</v>
      </c>
      <c r="AE21" s="28">
        <f t="shared" si="25"/>
        <v>1065821.8717619907</v>
      </c>
      <c r="AF21" s="28">
        <f t="shared" si="25"/>
        <v>1108454.7466324707</v>
      </c>
      <c r="AG21" s="28">
        <f t="shared" si="25"/>
        <v>1152792.9364977693</v>
      </c>
      <c r="AH21" s="28">
        <f t="shared" si="25"/>
        <v>1198904.6539576801</v>
      </c>
      <c r="AI21" s="28">
        <f t="shared" si="25"/>
        <v>1246860.8401159877</v>
      </c>
      <c r="AJ21" s="28">
        <f t="shared" si="25"/>
        <v>1296735.2737206272</v>
      </c>
      <c r="AK21" s="28">
        <f t="shared" si="25"/>
        <v>1348604.684669452</v>
      </c>
    </row>
    <row r="22" spans="2:37" x14ac:dyDescent="0.25">
      <c r="B22" s="16" t="s">
        <v>24</v>
      </c>
      <c r="C22" s="17"/>
      <c r="D22" s="83"/>
      <c r="E22" s="18"/>
      <c r="F22" s="18"/>
      <c r="G22" s="100">
        <f>SUM(G18:G21)</f>
        <v>74473618.460882246</v>
      </c>
      <c r="H22" s="19">
        <f>SUM(H18:H21)</f>
        <v>1327872</v>
      </c>
      <c r="I22" s="19">
        <f t="shared" ref="I22:AK22" si="28">SUM(I18:I21)</f>
        <v>1380986.8800000004</v>
      </c>
      <c r="J22" s="19">
        <f t="shared" si="28"/>
        <v>1436226.3552000001</v>
      </c>
      <c r="K22" s="19">
        <f t="shared" si="28"/>
        <v>1493675.4094080003</v>
      </c>
      <c r="L22" s="19">
        <f t="shared" si="28"/>
        <v>1553422.4257843206</v>
      </c>
      <c r="M22" s="19">
        <f t="shared" si="28"/>
        <v>1615559.3228156932</v>
      </c>
      <c r="N22" s="19">
        <f t="shared" si="28"/>
        <v>1680181.6957283206</v>
      </c>
      <c r="O22" s="19">
        <f t="shared" si="28"/>
        <v>1747388.9635574538</v>
      </c>
      <c r="P22" s="19">
        <f t="shared" si="28"/>
        <v>1817284.5220997524</v>
      </c>
      <c r="Q22" s="19">
        <f t="shared" si="28"/>
        <v>1889975.9029837423</v>
      </c>
      <c r="R22" s="19">
        <f t="shared" si="28"/>
        <v>1965574.9391030916</v>
      </c>
      <c r="S22" s="19">
        <f t="shared" si="28"/>
        <v>2044197.936667216</v>
      </c>
      <c r="T22" s="19">
        <f t="shared" si="28"/>
        <v>2125965.8541339044</v>
      </c>
      <c r="U22" s="19">
        <f t="shared" si="28"/>
        <v>2211004.4882992608</v>
      </c>
      <c r="V22" s="19">
        <f t="shared" si="28"/>
        <v>2299444.6678312314</v>
      </c>
      <c r="W22" s="19">
        <f t="shared" si="28"/>
        <v>2391422.4545444809</v>
      </c>
      <c r="X22" s="19">
        <f t="shared" si="28"/>
        <v>2487079.3527262602</v>
      </c>
      <c r="Y22" s="19">
        <f t="shared" si="28"/>
        <v>2586562.5268353107</v>
      </c>
      <c r="Z22" s="19">
        <f t="shared" si="28"/>
        <v>2690025.0279087233</v>
      </c>
      <c r="AA22" s="19">
        <f t="shared" si="28"/>
        <v>2797626.0290250722</v>
      </c>
      <c r="AB22" s="19">
        <f t="shared" si="28"/>
        <v>2909531.0701860762</v>
      </c>
      <c r="AC22" s="19">
        <f t="shared" si="28"/>
        <v>3025912.312993519</v>
      </c>
      <c r="AD22" s="19">
        <f t="shared" si="28"/>
        <v>3146948.805513259</v>
      </c>
      <c r="AE22" s="19">
        <f t="shared" si="28"/>
        <v>3272826.7577337897</v>
      </c>
      <c r="AF22" s="19">
        <f t="shared" si="28"/>
        <v>3403739.8280431423</v>
      </c>
      <c r="AG22" s="19">
        <f t="shared" si="28"/>
        <v>3539889.4211648675</v>
      </c>
      <c r="AH22" s="19">
        <f t="shared" si="28"/>
        <v>3681484.9980114624</v>
      </c>
      <c r="AI22" s="19">
        <f t="shared" si="28"/>
        <v>3828744.3979319218</v>
      </c>
      <c r="AJ22" s="19">
        <f t="shared" si="28"/>
        <v>3981894.1738491985</v>
      </c>
      <c r="AK22" s="19">
        <f t="shared" si="28"/>
        <v>4141169.9408031655</v>
      </c>
    </row>
    <row r="23" spans="2:37" x14ac:dyDescent="0.25">
      <c r="B23" s="20"/>
      <c r="C23" s="20"/>
      <c r="D23" s="86"/>
      <c r="E23" s="20"/>
      <c r="F23" s="20"/>
      <c r="G23" s="10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</row>
    <row r="24" spans="2:37" ht="15.75" customHeight="1" x14ac:dyDescent="0.25">
      <c r="B24" s="227" t="s">
        <v>60</v>
      </c>
      <c r="C24" s="12">
        <v>150</v>
      </c>
      <c r="D24" s="15">
        <f>+D6</f>
        <v>228</v>
      </c>
      <c r="E24" s="95">
        <f>'CI Na_LED_CMH'!D22-E6-E12</f>
        <v>158500</v>
      </c>
      <c r="F24" s="82">
        <v>0.04</v>
      </c>
      <c r="G24" s="99">
        <f>SUM(H24:AK24)</f>
        <v>67685796.258089334</v>
      </c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>
        <f t="shared" ref="W24:W27" si="29">$D24*$E24*(1+$F24)^W$5</f>
        <v>67685796.258089334</v>
      </c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</row>
    <row r="25" spans="2:37" ht="15.75" x14ac:dyDescent="0.25">
      <c r="B25" s="228"/>
      <c r="C25" s="12">
        <v>250</v>
      </c>
      <c r="D25" s="15">
        <f>+D7</f>
        <v>176</v>
      </c>
      <c r="E25" s="95">
        <f>'CI Na_LED_CMH'!D23-E7-E13</f>
        <v>159700</v>
      </c>
      <c r="F25" s="82">
        <v>0.04</v>
      </c>
      <c r="G25" s="99">
        <f>SUM(H25:AK25)</f>
        <v>52644258.46990338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>
        <f t="shared" si="29"/>
        <v>52644258.46990338</v>
      </c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</row>
    <row r="26" spans="2:37" ht="15.75" x14ac:dyDescent="0.25">
      <c r="B26" s="228"/>
      <c r="C26" s="12">
        <v>250</v>
      </c>
      <c r="D26" s="15">
        <f>+D8</f>
        <v>6</v>
      </c>
      <c r="E26" s="95">
        <f>'CI Na_LED_CMH'!D24-E8-E14</f>
        <v>249200</v>
      </c>
      <c r="F26" s="82">
        <v>0.04</v>
      </c>
      <c r="G26" s="99">
        <f>SUM(H26:AK26)</f>
        <v>2800481.5586112998</v>
      </c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>
        <f t="shared" si="29"/>
        <v>2800481.5586112998</v>
      </c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</row>
    <row r="27" spans="2:37" ht="15.75" x14ac:dyDescent="0.25">
      <c r="B27" s="229"/>
      <c r="C27" s="12">
        <v>400</v>
      </c>
      <c r="D27" s="15">
        <f>D9</f>
        <v>198</v>
      </c>
      <c r="E27" s="95">
        <f>'CI Na_LED_CMH'!D25-E9-E15</f>
        <v>217300</v>
      </c>
      <c r="F27" s="82">
        <v>0.04</v>
      </c>
      <c r="G27" s="99">
        <f>SUM(H27:AK27)</f>
        <v>80585767.289910793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>
        <f t="shared" si="29"/>
        <v>80585767.289910793</v>
      </c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</row>
    <row r="28" spans="2:37" x14ac:dyDescent="0.25">
      <c r="B28" s="16" t="s">
        <v>24</v>
      </c>
      <c r="C28" s="17"/>
      <c r="D28" s="83"/>
      <c r="E28" s="18"/>
      <c r="F28" s="18"/>
      <c r="G28" s="100">
        <f>SUM(G24:G27)</f>
        <v>203716303.57651481</v>
      </c>
      <c r="H28" s="19">
        <f t="shared" ref="H28:V28" si="30">SUM(H24:H26)</f>
        <v>0</v>
      </c>
      <c r="I28" s="19">
        <f t="shared" si="30"/>
        <v>0</v>
      </c>
      <c r="J28" s="19">
        <f t="shared" si="30"/>
        <v>0</v>
      </c>
      <c r="K28" s="19">
        <f t="shared" si="30"/>
        <v>0</v>
      </c>
      <c r="L28" s="19">
        <f t="shared" si="30"/>
        <v>0</v>
      </c>
      <c r="M28" s="19">
        <f t="shared" si="30"/>
        <v>0</v>
      </c>
      <c r="N28" s="19">
        <f t="shared" si="30"/>
        <v>0</v>
      </c>
      <c r="O28" s="19">
        <f t="shared" si="30"/>
        <v>0</v>
      </c>
      <c r="P28" s="19">
        <f t="shared" si="30"/>
        <v>0</v>
      </c>
      <c r="Q28" s="19">
        <f t="shared" si="30"/>
        <v>0</v>
      </c>
      <c r="R28" s="19">
        <f t="shared" si="30"/>
        <v>0</v>
      </c>
      <c r="S28" s="19">
        <f t="shared" si="30"/>
        <v>0</v>
      </c>
      <c r="T28" s="19">
        <f t="shared" si="30"/>
        <v>0</v>
      </c>
      <c r="U28" s="19">
        <f t="shared" si="30"/>
        <v>0</v>
      </c>
      <c r="V28" s="19">
        <f t="shared" si="30"/>
        <v>0</v>
      </c>
      <c r="W28" s="19">
        <f>SUM(W24:W27)</f>
        <v>203716303.57651481</v>
      </c>
      <c r="X28" s="19">
        <f t="shared" ref="X28:AK28" si="31">SUM(X24:X26)</f>
        <v>0</v>
      </c>
      <c r="Y28" s="19">
        <f t="shared" si="31"/>
        <v>0</v>
      </c>
      <c r="Z28" s="19">
        <f t="shared" si="31"/>
        <v>0</v>
      </c>
      <c r="AA28" s="19">
        <f t="shared" si="31"/>
        <v>0</v>
      </c>
      <c r="AB28" s="19">
        <f t="shared" si="31"/>
        <v>0</v>
      </c>
      <c r="AC28" s="19">
        <f t="shared" si="31"/>
        <v>0</v>
      </c>
      <c r="AD28" s="19">
        <f t="shared" si="31"/>
        <v>0</v>
      </c>
      <c r="AE28" s="19">
        <f t="shared" si="31"/>
        <v>0</v>
      </c>
      <c r="AF28" s="19">
        <f t="shared" si="31"/>
        <v>0</v>
      </c>
      <c r="AG28" s="19">
        <f t="shared" si="31"/>
        <v>0</v>
      </c>
      <c r="AH28" s="19">
        <f t="shared" si="31"/>
        <v>0</v>
      </c>
      <c r="AI28" s="19">
        <f t="shared" si="31"/>
        <v>0</v>
      </c>
      <c r="AJ28" s="19">
        <f t="shared" si="31"/>
        <v>0</v>
      </c>
      <c r="AK28" s="19">
        <f t="shared" si="31"/>
        <v>0</v>
      </c>
    </row>
    <row r="29" spans="2:37" x14ac:dyDescent="0.25">
      <c r="B29" s="20"/>
      <c r="C29" s="20"/>
      <c r="D29" s="86"/>
      <c r="E29" s="20"/>
      <c r="F29" s="20"/>
      <c r="G29" s="10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</row>
    <row r="30" spans="2:37" ht="34.5" customHeight="1" x14ac:dyDescent="0.25">
      <c r="B30" s="39" t="s">
        <v>36</v>
      </c>
      <c r="C30" s="12" t="s">
        <v>26</v>
      </c>
      <c r="D30" s="162">
        <f>+((D6*(C24+D37))+(D7*(C25+D38))+(D8*(C26+D38))+(D9*(C27+D39)))/1000</f>
        <v>176.43</v>
      </c>
      <c r="E30" s="163">
        <f>(12*7*52*RESUMEN!C25)</f>
        <v>1586544.9600000002</v>
      </c>
      <c r="F30" s="88">
        <v>5.5E-2</v>
      </c>
      <c r="G30" s="99">
        <f>SUM(H30:AK30)</f>
        <v>21390877849.30687</v>
      </c>
      <c r="H30" s="89">
        <f>$D30*$E30*(1+$F30)^H$5</f>
        <v>295309404.29390407</v>
      </c>
      <c r="I30" s="89">
        <f t="shared" ref="I30:AK30" si="32">$D30*$E30*(1+$F30)^I$5</f>
        <v>311551421.53006876</v>
      </c>
      <c r="J30" s="89">
        <f t="shared" si="32"/>
        <v>328686749.71422255</v>
      </c>
      <c r="K30" s="89">
        <f t="shared" si="32"/>
        <v>346764520.94850475</v>
      </c>
      <c r="L30" s="89">
        <f t="shared" si="32"/>
        <v>365836569.60067248</v>
      </c>
      <c r="M30" s="89">
        <f t="shared" si="32"/>
        <v>385957580.92870951</v>
      </c>
      <c r="N30" s="89">
        <f t="shared" si="32"/>
        <v>407185247.87978846</v>
      </c>
      <c r="O30" s="89">
        <f t="shared" si="32"/>
        <v>429580436.51317686</v>
      </c>
      <c r="P30" s="89">
        <f t="shared" si="32"/>
        <v>453207360.52140158</v>
      </c>
      <c r="Q30" s="89">
        <f t="shared" si="32"/>
        <v>478133765.35007864</v>
      </c>
      <c r="R30" s="89">
        <f t="shared" si="32"/>
        <v>504431122.4443329</v>
      </c>
      <c r="S30" s="89">
        <f t="shared" si="32"/>
        <v>532174834.1787712</v>
      </c>
      <c r="T30" s="89">
        <f t="shared" si="32"/>
        <v>561444450.05860364</v>
      </c>
      <c r="U30" s="89">
        <f t="shared" si="32"/>
        <v>592323894.81182683</v>
      </c>
      <c r="V30" s="89">
        <f t="shared" si="32"/>
        <v>624901709.02647722</v>
      </c>
      <c r="W30" s="89">
        <f t="shared" si="32"/>
        <v>659271303.02293348</v>
      </c>
      <c r="X30" s="89">
        <f t="shared" si="32"/>
        <v>695531224.6891948</v>
      </c>
      <c r="Y30" s="89">
        <f t="shared" si="32"/>
        <v>733785442.04710042</v>
      </c>
      <c r="Z30" s="89">
        <f t="shared" si="32"/>
        <v>774143641.3596909</v>
      </c>
      <c r="AA30" s="89">
        <f t="shared" si="32"/>
        <v>816721541.63447392</v>
      </c>
      <c r="AB30" s="89">
        <f t="shared" si="32"/>
        <v>861641226.42436993</v>
      </c>
      <c r="AC30" s="89">
        <f t="shared" si="32"/>
        <v>909031493.87771022</v>
      </c>
      <c r="AD30" s="89">
        <f t="shared" si="32"/>
        <v>959028226.04098427</v>
      </c>
      <c r="AE30" s="89">
        <f t="shared" si="32"/>
        <v>1011774778.4732383</v>
      </c>
      <c r="AF30" s="89">
        <f t="shared" si="32"/>
        <v>1067422391.2892665</v>
      </c>
      <c r="AG30" s="89">
        <f t="shared" si="32"/>
        <v>1126130622.8101761</v>
      </c>
      <c r="AH30" s="89">
        <f t="shared" si="32"/>
        <v>1188067807.0647357</v>
      </c>
      <c r="AI30" s="89">
        <f t="shared" si="32"/>
        <v>1253411536.4532962</v>
      </c>
      <c r="AJ30" s="89">
        <f t="shared" si="32"/>
        <v>1322349170.9582272</v>
      </c>
      <c r="AK30" s="89">
        <f t="shared" si="32"/>
        <v>1395078375.3609297</v>
      </c>
    </row>
    <row r="31" spans="2:37" x14ac:dyDescent="0.25">
      <c r="B31" s="16" t="s">
        <v>27</v>
      </c>
      <c r="C31" s="17"/>
      <c r="D31" s="83"/>
      <c r="E31" s="18"/>
      <c r="F31" s="18"/>
      <c r="G31" s="100">
        <f>SUM(G30:G30)</f>
        <v>21390877849.30687</v>
      </c>
      <c r="H31" s="19">
        <f t="shared" ref="H31:AK31" si="33">SUM(H30:H30)</f>
        <v>295309404.29390407</v>
      </c>
      <c r="I31" s="19">
        <f t="shared" si="33"/>
        <v>311551421.53006876</v>
      </c>
      <c r="J31" s="19">
        <f t="shared" si="33"/>
        <v>328686749.71422255</v>
      </c>
      <c r="K31" s="19">
        <f t="shared" si="33"/>
        <v>346764520.94850475</v>
      </c>
      <c r="L31" s="19">
        <f t="shared" si="33"/>
        <v>365836569.60067248</v>
      </c>
      <c r="M31" s="19">
        <f t="shared" si="33"/>
        <v>385957580.92870951</v>
      </c>
      <c r="N31" s="19">
        <f t="shared" si="33"/>
        <v>407185247.87978846</v>
      </c>
      <c r="O31" s="19">
        <f t="shared" si="33"/>
        <v>429580436.51317686</v>
      </c>
      <c r="P31" s="19">
        <f t="shared" si="33"/>
        <v>453207360.52140158</v>
      </c>
      <c r="Q31" s="19">
        <f t="shared" si="33"/>
        <v>478133765.35007864</v>
      </c>
      <c r="R31" s="19">
        <f t="shared" si="33"/>
        <v>504431122.4443329</v>
      </c>
      <c r="S31" s="19">
        <f t="shared" si="33"/>
        <v>532174834.1787712</v>
      </c>
      <c r="T31" s="19">
        <f t="shared" si="33"/>
        <v>561444450.05860364</v>
      </c>
      <c r="U31" s="19">
        <f t="shared" si="33"/>
        <v>592323894.81182683</v>
      </c>
      <c r="V31" s="19">
        <f t="shared" si="33"/>
        <v>624901709.02647722</v>
      </c>
      <c r="W31" s="19">
        <f t="shared" si="33"/>
        <v>659271303.02293348</v>
      </c>
      <c r="X31" s="19">
        <f t="shared" si="33"/>
        <v>695531224.6891948</v>
      </c>
      <c r="Y31" s="19">
        <f t="shared" si="33"/>
        <v>733785442.04710042</v>
      </c>
      <c r="Z31" s="19">
        <f t="shared" si="33"/>
        <v>774143641.3596909</v>
      </c>
      <c r="AA31" s="19">
        <f t="shared" si="33"/>
        <v>816721541.63447392</v>
      </c>
      <c r="AB31" s="19">
        <f t="shared" si="33"/>
        <v>861641226.42436993</v>
      </c>
      <c r="AC31" s="19">
        <f t="shared" si="33"/>
        <v>909031493.87771022</v>
      </c>
      <c r="AD31" s="19">
        <f t="shared" si="33"/>
        <v>959028226.04098427</v>
      </c>
      <c r="AE31" s="19">
        <f t="shared" si="33"/>
        <v>1011774778.4732383</v>
      </c>
      <c r="AF31" s="19">
        <f t="shared" si="33"/>
        <v>1067422391.2892665</v>
      </c>
      <c r="AG31" s="19">
        <f t="shared" si="33"/>
        <v>1126130622.8101761</v>
      </c>
      <c r="AH31" s="19">
        <f t="shared" si="33"/>
        <v>1188067807.0647357</v>
      </c>
      <c r="AI31" s="19">
        <f t="shared" si="33"/>
        <v>1253411536.4532962</v>
      </c>
      <c r="AJ31" s="19">
        <f t="shared" si="33"/>
        <v>1322349170.9582272</v>
      </c>
      <c r="AK31" s="19">
        <f t="shared" si="33"/>
        <v>1395078375.3609297</v>
      </c>
    </row>
    <row r="32" spans="2:37" x14ac:dyDescent="0.25">
      <c r="B32" s="113"/>
      <c r="C32" s="114"/>
      <c r="D32" s="115"/>
      <c r="E32" s="116"/>
      <c r="F32" s="116"/>
      <c r="G32" s="117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</row>
    <row r="33" spans="2:37" s="90" customFormat="1" x14ac:dyDescent="0.25">
      <c r="B33" s="222" t="s">
        <v>68</v>
      </c>
      <c r="C33" s="222"/>
      <c r="D33" s="222"/>
      <c r="E33" s="222"/>
      <c r="F33" s="222"/>
      <c r="G33" s="222"/>
      <c r="H33" s="159">
        <f>IF(H5&lt;=RESUMEN!$C$24,+H10+H16+H22+H31+H28,)</f>
        <v>296637276.29390407</v>
      </c>
      <c r="I33" s="159">
        <f>IF(I5&lt;=RESUMEN!$C$24,+I10+I16+I22+I31+I28,)</f>
        <v>312932408.41006875</v>
      </c>
      <c r="J33" s="159">
        <f>IF(J5&lt;=RESUMEN!$C$24,+J10+J16+J22+J31+J28,)</f>
        <v>359993064.67102253</v>
      </c>
      <c r="K33" s="159">
        <f>IF(K5&lt;=RESUMEN!$C$24,+K10+K16+K22+K31+K28,)</f>
        <v>348258196.35791272</v>
      </c>
      <c r="L33" s="159">
        <f>IF(L5&lt;=RESUMEN!$C$24,+L10+L16+L22+L31+L28,)</f>
        <v>404884071.18087858</v>
      </c>
      <c r="M33" s="159">
        <f>IF(M5&lt;=RESUMEN!$C$24,+M10+M16+M22+M31+M28,)</f>
        <v>421172927.59627539</v>
      </c>
      <c r="N33" s="159">
        <f>IF(N5&lt;=RESUMEN!$C$24,+N10+N16+N22+N31+N28,)</f>
        <v>408865429.57551676</v>
      </c>
      <c r="O33" s="159">
        <f>IF(O5&lt;=RESUMEN!$C$24,+O10+O16+O22+O31+O28,)</f>
        <v>431327825.47673434</v>
      </c>
      <c r="P33" s="159">
        <f>IF(P5&lt;=RESUMEN!$C$24,+P10+P16+P22+P31+P28,)</f>
        <v>492819836.23526645</v>
      </c>
      <c r="Q33" s="159">
        <f>IF(Q5&lt;=RESUMEN!$C$24,+Q10+Q16+Q22+Q31+Q28,)</f>
        <v>525641021.479105</v>
      </c>
      <c r="R33" s="159">
        <f>IF(R5&lt;=RESUMEN!$C$24,+R10+R16+R22+R31+R28,)</f>
        <v>506396697.38343596</v>
      </c>
      <c r="S33" s="159">
        <f>IF(S5&lt;=RESUMEN!$C$24,+S10+S16+S22+S31+S28,)</f>
        <v>576733482.06017208</v>
      </c>
      <c r="T33" s="159">
        <f>IF(T5&lt;=RESUMEN!$C$24,+T10+T16+T22+T31+T28,)</f>
        <v>563570415.91273761</v>
      </c>
      <c r="U33" s="159">
        <f>IF(U5&lt;=RESUMEN!$C$24,+U10+U16+U22+U31+U28,)</f>
        <v>594534899.30012608</v>
      </c>
      <c r="V33" s="159">
        <f>IF(V5&lt;=RESUMEN!$C$24,+V10+V16+V22+V31+V28,)</f>
        <v>730524524.30355012</v>
      </c>
      <c r="W33" s="159">
        <f>IF(W5&lt;=RESUMEN!$C$24,+W10+W16+W22+W31+W28,)</f>
        <v>865379029.05399275</v>
      </c>
      <c r="X33" s="159">
        <f>IF(X5&lt;=RESUMEN!$C$24,+X10+X16+X22+X31+X28,)</f>
        <v>698018304.04192102</v>
      </c>
      <c r="Y33" s="159">
        <f>IF(Y5&lt;=RESUMEN!$C$24,+Y10+Y16+Y22+Y31+Y28,)</f>
        <v>790166346.64990342</v>
      </c>
      <c r="Z33" s="159">
        <f>IF(Z5&lt;=RESUMEN!$C$24,+Z10+Z16+Z22+Z31+Z28,)</f>
        <v>776833666.38759959</v>
      </c>
      <c r="AA33" s="159">
        <f>IF(AA5&lt;=RESUMEN!$C$24,+AA10+AA16+AA22+AA31+AA28,)</f>
        <v>887043886.01161718</v>
      </c>
      <c r="AB33" s="159">
        <f>IF(AB5&lt;=RESUMEN!$C$24,+AB10+AB16+AB22+AB31+AB28,)</f>
        <v>925062076.29949737</v>
      </c>
      <c r="AC33" s="159">
        <f>IF(AC5&lt;=RESUMEN!$C$24,+AC10+AC16+AC22+AC31+AC28,)</f>
        <v>912057406.19070375</v>
      </c>
      <c r="AD33" s="159">
        <f>IF(AD5&lt;=RESUMEN!$C$24,+AD10+AD16+AD22+AD31+AD28,)</f>
        <v>962175174.84649754</v>
      </c>
      <c r="AE33" s="159">
        <f>IF(AE5&lt;=RESUMEN!$C$24,+AE10+AE16+AE22+AE31+AE28,)</f>
        <v>1083114609.3471737</v>
      </c>
      <c r="AF33" s="159">
        <f>IF(AF5&lt;=RESUMEN!$C$24,+AF10+AF16+AF22+AF31+AF28,)</f>
        <v>1152980275.6792901</v>
      </c>
      <c r="AG33" s="159">
        <f>IF(AG5&lt;=RESUMEN!$C$24,+AG10+AG16+AG22+AG31+AG28,)</f>
        <v>1129670512.2313409</v>
      </c>
      <c r="AH33" s="159">
        <f>IF(AH5&lt;=RESUMEN!$C$24,+AH10+AH16+AH22+AH31+AH28,)</f>
        <v>1268315414.580914</v>
      </c>
      <c r="AI33" s="159">
        <f>IF(AI5&lt;=RESUMEN!$C$24,+AI10+AI16+AI22+AI31+AI28,)</f>
        <v>1257240280.851228</v>
      </c>
      <c r="AJ33" s="159">
        <f>IF(AJ5&lt;=RESUMEN!$C$24,+AJ10+AJ16+AJ22+AJ31+AJ28,)</f>
        <v>1326331065.1320763</v>
      </c>
      <c r="AK33" s="159">
        <f>IF(AK5&lt;=RESUMEN!$C$24,+AK10+AK16+AK22+AK31+AK28,)</f>
        <v>1585299098.5675311</v>
      </c>
    </row>
    <row r="34" spans="2:37" ht="15.75" thickBot="1" x14ac:dyDescent="0.3">
      <c r="B34" s="220" t="s">
        <v>69</v>
      </c>
      <c r="C34" s="220"/>
      <c r="D34" s="220"/>
      <c r="E34" s="220"/>
      <c r="F34" s="220"/>
      <c r="G34" s="221"/>
      <c r="H34" s="154">
        <f>+G10+G16+G22+G28+G31</f>
        <v>22593979222.107994</v>
      </c>
      <c r="I34" s="92"/>
      <c r="J34" s="92"/>
      <c r="K34" s="92"/>
    </row>
    <row r="35" spans="2:37" ht="15.75" thickTop="1" x14ac:dyDescent="0.25">
      <c r="I35" s="93"/>
      <c r="J35" s="93"/>
      <c r="K35" s="93"/>
    </row>
    <row r="36" spans="2:37" x14ac:dyDescent="0.25">
      <c r="H36" s="9">
        <f>H33/'CAOM LED '!H41</f>
        <v>2.3219872618689399</v>
      </c>
      <c r="I36" s="9">
        <f>I33/'CAOM LED '!I41</f>
        <v>2.3221781438560134</v>
      </c>
      <c r="J36" s="9">
        <f>J33/'CAOM LED '!J41</f>
        <v>2.5324980268881032</v>
      </c>
      <c r="K36" s="9">
        <f>K33/'CAOM LED '!K41</f>
        <v>2.3225519657718059</v>
      </c>
      <c r="L36" s="9">
        <f>L33/'CAOM LED '!L41</f>
        <v>2.5597822872255223</v>
      </c>
      <c r="M36" s="9">
        <f>M33/'CAOM LED '!M41</f>
        <v>2.5242954011137591</v>
      </c>
      <c r="N36" s="9">
        <f>N33/'CAOM LED '!N41</f>
        <v>2.3230933808590422</v>
      </c>
      <c r="O36" s="9">
        <f>O33/'CAOM LED '!O41</f>
        <v>2.3232688411761599</v>
      </c>
      <c r="P36" s="9">
        <f>P33/'CAOM LED '!P41</f>
        <v>2.516431243624889</v>
      </c>
      <c r="Q36" s="9">
        <f>Q33/'CAOM LED '!Q41</f>
        <v>2.5444283613749454</v>
      </c>
      <c r="R36" s="9">
        <f>R33/'CAOM LED '!R41</f>
        <v>2.3237806637556577</v>
      </c>
      <c r="S36" s="9">
        <f>S33/'CAOM LED '!S41</f>
        <v>2.5088918460502891</v>
      </c>
      <c r="T36" s="9">
        <f>T33/'CAOM LED '!T41</f>
        <v>2.324110076684724</v>
      </c>
      <c r="U36" s="9">
        <f>U33/'CAOM LED '!U41</f>
        <v>2.3242713391951639</v>
      </c>
      <c r="V36" s="9">
        <f>V33/'CAOM LED '!V41</f>
        <v>2.7073505270838041</v>
      </c>
      <c r="W36" s="9">
        <f>W33/'CAOM LED '!W41</f>
        <v>0.63755956284378212</v>
      </c>
      <c r="X36" s="9">
        <f>X33/'CAOM LED '!X41</f>
        <v>2.3247417262349908</v>
      </c>
      <c r="Y36" s="9">
        <f>Y33/'CAOM LED '!Y41</f>
        <v>2.4947351487065657</v>
      </c>
      <c r="Z36" s="9">
        <f>Z33/'CAOM LED '!Z41</f>
        <v>2.325044455063761</v>
      </c>
      <c r="AA36" s="9">
        <f>AA33/'CAOM LED '!AA41</f>
        <v>2.5167781369114803</v>
      </c>
      <c r="AB36" s="9">
        <f>AB33/'CAOM LED '!AB41</f>
        <v>2.4880930270447745</v>
      </c>
      <c r="AC36" s="9">
        <f>AC33/'CAOM LED '!AC41</f>
        <v>2.3254828455864214</v>
      </c>
      <c r="AD36" s="9">
        <f>AD33/'CAOM LED '!AD41</f>
        <v>2.3256249030689</v>
      </c>
      <c r="AE36" s="9">
        <f>AE33/'CAOM LED '!AE41</f>
        <v>2.4817259849616597</v>
      </c>
      <c r="AF36" s="9">
        <f>AF33/'CAOM LED '!AF41</f>
        <v>2.5043471506741866</v>
      </c>
      <c r="AG36" s="9">
        <f>AG33/'CAOM LED '!AG41</f>
        <v>2.3260392469520541</v>
      </c>
      <c r="AH36" s="9">
        <f>AH33/'CAOM LED '!AH41</f>
        <v>2.4756227992795106</v>
      </c>
      <c r="AI36" s="9">
        <f>AI33/'CAOM LED '!AI41</f>
        <v>2.326305888994967</v>
      </c>
      <c r="AJ36" s="9">
        <f>AJ33/'CAOM LED '!AJ41</f>
        <v>2.3264364129418684</v>
      </c>
      <c r="AK36" s="9">
        <f>AK33/'CAOM LED '!AK41</f>
        <v>2.6359705869452759</v>
      </c>
    </row>
    <row r="37" spans="2:37" x14ac:dyDescent="0.25">
      <c r="B37" s="140" t="s">
        <v>103</v>
      </c>
      <c r="D37" s="85">
        <v>19</v>
      </c>
      <c r="K37" s="38"/>
    </row>
    <row r="38" spans="2:37" x14ac:dyDescent="0.25">
      <c r="B38" s="140" t="s">
        <v>104</v>
      </c>
      <c r="D38" s="85">
        <v>29</v>
      </c>
    </row>
    <row r="39" spans="2:37" x14ac:dyDescent="0.25">
      <c r="B39" s="140" t="s">
        <v>105</v>
      </c>
      <c r="D39" s="85">
        <v>40</v>
      </c>
      <c r="AB39" s="160" t="s">
        <v>123</v>
      </c>
    </row>
  </sheetData>
  <mergeCells count="9">
    <mergeCell ref="B34:G34"/>
    <mergeCell ref="B33:G33"/>
    <mergeCell ref="D4:G4"/>
    <mergeCell ref="H4:AK4"/>
    <mergeCell ref="B5:C5"/>
    <mergeCell ref="B6:B9"/>
    <mergeCell ref="B12:B15"/>
    <mergeCell ref="B18:B21"/>
    <mergeCell ref="B24:B27"/>
  </mergeCells>
  <phoneticPr fontId="0" type="noConversion"/>
  <printOptions horizontalCentered="1" verticalCentered="1"/>
  <pageMargins left="0.19685039370078741" right="0.19685039370078741" top="0.39370078740157483" bottom="0.39370078740157483" header="0.31496062992125984" footer="0.31496062992125984"/>
  <pageSetup scale="60" orientation="landscape" r:id="rId1"/>
  <headerFooter>
    <oddFooter>&amp;R&amp;G</oddFooter>
  </headerFooter>
  <ignoredErrors>
    <ignoredError sqref="H22 W28" formula="1"/>
    <ignoredError sqref="H10:AK10" formulaRange="1"/>
  </ignoredError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-0.499984740745262"/>
  </sheetPr>
  <dimension ref="B1:AL39"/>
  <sheetViews>
    <sheetView showGridLines="0" workbookViewId="0">
      <pane xSplit="7" ySplit="5" topLeftCell="H6" activePane="bottomRight" state="frozen"/>
      <selection pane="topRight" activeCell="H1" sqref="H1"/>
      <selection pane="bottomLeft" activeCell="A6" sqref="A6"/>
      <selection pane="bottomRight" activeCell="J42" sqref="J42"/>
    </sheetView>
  </sheetViews>
  <sheetFormatPr baseColWidth="10" defaultRowHeight="15" x14ac:dyDescent="0.25"/>
  <cols>
    <col min="1" max="1" width="1.140625" style="9" customWidth="1"/>
    <col min="2" max="2" width="16.140625" style="9" customWidth="1"/>
    <col min="3" max="3" width="10" style="9" customWidth="1"/>
    <col min="4" max="4" width="7.42578125" style="85" bestFit="1" customWidth="1"/>
    <col min="5" max="5" width="9.140625" style="9" bestFit="1" customWidth="1"/>
    <col min="6" max="6" width="8.28515625" style="9" bestFit="1" customWidth="1"/>
    <col min="7" max="7" width="22.5703125" style="97" customWidth="1"/>
    <col min="8" max="8" width="15.140625" style="9" customWidth="1"/>
    <col min="9" max="11" width="13.28515625" style="9" bestFit="1" customWidth="1"/>
    <col min="12" max="13" width="14.28515625" style="9" bestFit="1" customWidth="1"/>
    <col min="14" max="21" width="13.28515625" style="9" bestFit="1" customWidth="1"/>
    <col min="22" max="22" width="14" style="9" bestFit="1" customWidth="1"/>
    <col min="23" max="23" width="14.28515625" style="9" bestFit="1" customWidth="1"/>
    <col min="24" max="26" width="13.28515625" style="9" bestFit="1" customWidth="1"/>
    <col min="27" max="27" width="14" style="9" bestFit="1" customWidth="1"/>
    <col min="28" max="28" width="13" style="9" bestFit="1" customWidth="1"/>
    <col min="29" max="29" width="14" style="9" bestFit="1" customWidth="1"/>
    <col min="30" max="30" width="13.28515625" style="9" bestFit="1" customWidth="1"/>
    <col min="31" max="37" width="14.28515625" style="9" bestFit="1" customWidth="1"/>
    <col min="38" max="38" width="12.5703125" style="9" bestFit="1" customWidth="1"/>
    <col min="39" max="16384" width="11.42578125" style="9"/>
  </cols>
  <sheetData>
    <row r="1" spans="2:38" x14ac:dyDescent="0.25">
      <c r="B1" s="29" t="s">
        <v>122</v>
      </c>
    </row>
    <row r="4" spans="2:38" ht="21" x14ac:dyDescent="0.35">
      <c r="B4" s="37" t="s">
        <v>97</v>
      </c>
      <c r="D4" s="223"/>
      <c r="E4" s="223"/>
      <c r="F4" s="223"/>
      <c r="G4" s="223"/>
      <c r="H4" s="224" t="s">
        <v>16</v>
      </c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  <c r="AF4" s="224"/>
      <c r="AG4" s="224"/>
      <c r="AH4" s="224"/>
      <c r="AI4" s="224"/>
      <c r="AJ4" s="224"/>
      <c r="AK4" s="224"/>
      <c r="AL4" s="11" t="s">
        <v>17</v>
      </c>
    </row>
    <row r="5" spans="2:38" ht="25.5" x14ac:dyDescent="0.25">
      <c r="B5" s="225" t="s">
        <v>18</v>
      </c>
      <c r="C5" s="226"/>
      <c r="D5" s="26" t="s">
        <v>19</v>
      </c>
      <c r="E5" s="27" t="s">
        <v>20</v>
      </c>
      <c r="F5" s="27" t="s">
        <v>21</v>
      </c>
      <c r="G5" s="98" t="s">
        <v>22</v>
      </c>
      <c r="H5" s="10">
        <v>1</v>
      </c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>
        <v>9</v>
      </c>
      <c r="Q5" s="10">
        <v>10</v>
      </c>
      <c r="R5" s="10">
        <v>11</v>
      </c>
      <c r="S5" s="10">
        <v>12</v>
      </c>
      <c r="T5" s="10">
        <v>13</v>
      </c>
      <c r="U5" s="10">
        <v>14</v>
      </c>
      <c r="V5" s="10">
        <v>15</v>
      </c>
      <c r="W5" s="10">
        <v>16</v>
      </c>
      <c r="X5" s="10">
        <v>17</v>
      </c>
      <c r="Y5" s="10">
        <v>18</v>
      </c>
      <c r="Z5" s="10">
        <v>19</v>
      </c>
      <c r="AA5" s="10">
        <v>20</v>
      </c>
      <c r="AB5" s="10">
        <v>21</v>
      </c>
      <c r="AC5" s="10">
        <v>22</v>
      </c>
      <c r="AD5" s="10">
        <v>23</v>
      </c>
      <c r="AE5" s="10">
        <v>24</v>
      </c>
      <c r="AF5" s="10">
        <v>25</v>
      </c>
      <c r="AG5" s="10">
        <v>26</v>
      </c>
      <c r="AH5" s="10">
        <v>27</v>
      </c>
      <c r="AI5" s="10">
        <v>28</v>
      </c>
      <c r="AJ5" s="10">
        <v>29</v>
      </c>
      <c r="AK5" s="10">
        <v>30</v>
      </c>
      <c r="AL5" s="11">
        <f>+D4</f>
        <v>0</v>
      </c>
    </row>
    <row r="6" spans="2:38" ht="15.75" customHeight="1" x14ac:dyDescent="0.25">
      <c r="B6" s="227" t="s">
        <v>29</v>
      </c>
      <c r="C6" s="12" t="s">
        <v>100</v>
      </c>
      <c r="D6" s="15">
        <f>'CI Na_LED_CMH'!C46</f>
        <v>203</v>
      </c>
      <c r="E6" s="94">
        <f>'CI Na_LED_CMH'!D46</f>
        <v>43400</v>
      </c>
      <c r="F6" s="82">
        <v>0.04</v>
      </c>
      <c r="G6" s="99">
        <f>SUM(H6:AK6)</f>
        <v>261980231.02280337</v>
      </c>
      <c r="H6" s="28"/>
      <c r="I6" s="178">
        <f>$D6*$E6*(1+$F6)^I$5</f>
        <v>9529112.3200000003</v>
      </c>
      <c r="J6" s="28"/>
      <c r="K6" s="28">
        <f t="shared" ref="K6:AK9" si="0">$D6*$E6*(1+$F6)^K$5</f>
        <v>10306687.885312002</v>
      </c>
      <c r="L6" s="28"/>
      <c r="M6" s="28">
        <f t="shared" si="0"/>
        <v>11147713.616753463</v>
      </c>
      <c r="N6" s="28"/>
      <c r="O6" s="28">
        <f t="shared" si="0"/>
        <v>12057367.047880545</v>
      </c>
      <c r="P6" s="28"/>
      <c r="Q6" s="28">
        <f t="shared" si="0"/>
        <v>13041248.198987599</v>
      </c>
      <c r="R6" s="28"/>
      <c r="S6" s="28">
        <f t="shared" si="0"/>
        <v>14105414.05202499</v>
      </c>
      <c r="T6" s="28"/>
      <c r="U6" s="28">
        <f t="shared" si="0"/>
        <v>15256415.83867023</v>
      </c>
      <c r="V6" s="28"/>
      <c r="W6" s="28">
        <f t="shared" si="0"/>
        <v>16501339.371105721</v>
      </c>
      <c r="X6" s="28"/>
      <c r="Y6" s="28">
        <f t="shared" si="0"/>
        <v>17847848.66378795</v>
      </c>
      <c r="Z6" s="28"/>
      <c r="AA6" s="28">
        <f t="shared" si="0"/>
        <v>19304233.114753049</v>
      </c>
      <c r="AB6" s="28"/>
      <c r="AC6" s="28">
        <f t="shared" si="0"/>
        <v>20879458.5369169</v>
      </c>
      <c r="AD6" s="28"/>
      <c r="AE6" s="28">
        <f t="shared" si="0"/>
        <v>22583222.353529319</v>
      </c>
      <c r="AF6" s="28"/>
      <c r="AG6" s="28">
        <f t="shared" si="0"/>
        <v>24426013.297577314</v>
      </c>
      <c r="AH6" s="28"/>
      <c r="AI6" s="28">
        <f t="shared" si="0"/>
        <v>26419175.98265963</v>
      </c>
      <c r="AJ6" s="28"/>
      <c r="AK6" s="28">
        <f t="shared" si="0"/>
        <v>28574980.742844652</v>
      </c>
      <c r="AL6" s="14">
        <f>COUNTIF(H6:AK6,"RS")</f>
        <v>0</v>
      </c>
    </row>
    <row r="7" spans="2:38" ht="15.75" x14ac:dyDescent="0.25">
      <c r="B7" s="228"/>
      <c r="C7" s="12" t="s">
        <v>94</v>
      </c>
      <c r="D7" s="15">
        <f>'CI Na_LED_CMH'!C47</f>
        <v>196</v>
      </c>
      <c r="E7" s="94">
        <f>'CI Na_LED_CMH'!D47</f>
        <v>69300</v>
      </c>
      <c r="F7" s="82">
        <v>0.04</v>
      </c>
      <c r="G7" s="99">
        <f>SUM(H7:AK7)</f>
        <v>403898331.69922751</v>
      </c>
      <c r="H7" s="28"/>
      <c r="I7" s="178">
        <f t="shared" ref="I7:W9" si="1">$D7*$E7*(1+$F7)^I$5</f>
        <v>14691156.480000002</v>
      </c>
      <c r="J7" s="28"/>
      <c r="K7" s="28">
        <f t="shared" si="1"/>
        <v>15889954.848768003</v>
      </c>
      <c r="L7" s="28"/>
      <c r="M7" s="28">
        <f t="shared" si="1"/>
        <v>17186575.164427474</v>
      </c>
      <c r="N7" s="28"/>
      <c r="O7" s="28">
        <f t="shared" si="1"/>
        <v>18588999.697844759</v>
      </c>
      <c r="P7" s="28"/>
      <c r="Q7" s="28">
        <f t="shared" si="1"/>
        <v>20105862.07318889</v>
      </c>
      <c r="R7" s="28"/>
      <c r="S7" s="28">
        <f t="shared" si="1"/>
        <v>21746500.418361109</v>
      </c>
      <c r="T7" s="28"/>
      <c r="U7" s="28">
        <f t="shared" si="1"/>
        <v>23521014.852499373</v>
      </c>
      <c r="V7" s="28"/>
      <c r="W7" s="28">
        <f t="shared" si="1"/>
        <v>25440329.664463326</v>
      </c>
      <c r="X7" s="28"/>
      <c r="Y7" s="28">
        <f t="shared" si="0"/>
        <v>27516260.565083537</v>
      </c>
      <c r="Z7" s="28"/>
      <c r="AA7" s="28">
        <f t="shared" si="0"/>
        <v>29761587.427194353</v>
      </c>
      <c r="AB7" s="28"/>
      <c r="AC7" s="28">
        <f t="shared" si="0"/>
        <v>32190132.96125342</v>
      </c>
      <c r="AD7" s="28"/>
      <c r="AE7" s="28">
        <f t="shared" si="0"/>
        <v>34816847.810891695</v>
      </c>
      <c r="AF7" s="28"/>
      <c r="AG7" s="28">
        <f t="shared" si="0"/>
        <v>37657902.592260465</v>
      </c>
      <c r="AH7" s="28"/>
      <c r="AI7" s="28">
        <f t="shared" si="0"/>
        <v>40730787.443788931</v>
      </c>
      <c r="AJ7" s="28"/>
      <c r="AK7" s="28">
        <f t="shared" si="0"/>
        <v>44054419.699202098</v>
      </c>
      <c r="AL7" s="14">
        <f>COUNTIF(H7:AK7,"RS")</f>
        <v>0</v>
      </c>
    </row>
    <row r="8" spans="2:38" ht="15.75" x14ac:dyDescent="0.25">
      <c r="B8" s="228"/>
      <c r="C8" s="12" t="s">
        <v>95</v>
      </c>
      <c r="D8" s="15">
        <f>'CI Na_LED_CMH'!C48</f>
        <v>10</v>
      </c>
      <c r="E8" s="94">
        <f>'CI Na_LED_CMH'!D48</f>
        <v>60000</v>
      </c>
      <c r="F8" s="82">
        <v>0.04</v>
      </c>
      <c r="G8" s="99">
        <f>SUM(H8:AK8)</f>
        <v>17841608.432689615</v>
      </c>
      <c r="H8" s="28"/>
      <c r="I8" s="178">
        <f t="shared" si="1"/>
        <v>648960.00000000012</v>
      </c>
      <c r="J8" s="28"/>
      <c r="K8" s="28">
        <f t="shared" si="1"/>
        <v>701915.13600000017</v>
      </c>
      <c r="L8" s="28"/>
      <c r="M8" s="28">
        <f t="shared" si="1"/>
        <v>759191.41109760024</v>
      </c>
      <c r="N8" s="28"/>
      <c r="O8" s="28">
        <f t="shared" si="1"/>
        <v>821141.43024316442</v>
      </c>
      <c r="P8" s="28"/>
      <c r="Q8" s="28">
        <f t="shared" si="1"/>
        <v>888146.57095100672</v>
      </c>
      <c r="R8" s="28"/>
      <c r="S8" s="28">
        <f t="shared" si="1"/>
        <v>960619.33114060899</v>
      </c>
      <c r="T8" s="28"/>
      <c r="U8" s="28">
        <f t="shared" si="1"/>
        <v>1039005.8685616828</v>
      </c>
      <c r="V8" s="28"/>
      <c r="W8" s="28">
        <f t="shared" si="1"/>
        <v>1123788.7474363162</v>
      </c>
      <c r="X8" s="28"/>
      <c r="Y8" s="28">
        <f t="shared" si="0"/>
        <v>1215489.9092271198</v>
      </c>
      <c r="Z8" s="28"/>
      <c r="AA8" s="28">
        <f t="shared" si="0"/>
        <v>1314673.8858200528</v>
      </c>
      <c r="AB8" s="28"/>
      <c r="AC8" s="28">
        <f t="shared" si="0"/>
        <v>1421951.2749029694</v>
      </c>
      <c r="AD8" s="28"/>
      <c r="AE8" s="28">
        <f t="shared" si="0"/>
        <v>1537982.4989350517</v>
      </c>
      <c r="AF8" s="28"/>
      <c r="AG8" s="28">
        <f t="shared" si="0"/>
        <v>1663481.8708481521</v>
      </c>
      <c r="AH8" s="28"/>
      <c r="AI8" s="28">
        <f t="shared" si="0"/>
        <v>1799221.9915093617</v>
      </c>
      <c r="AJ8" s="28"/>
      <c r="AK8" s="28">
        <f t="shared" si="0"/>
        <v>1946038.5060165254</v>
      </c>
      <c r="AL8" s="14">
        <f>COUNTIF(H8:AK8,"RS")</f>
        <v>0</v>
      </c>
    </row>
    <row r="9" spans="2:38" ht="15.75" x14ac:dyDescent="0.25">
      <c r="B9" s="229"/>
      <c r="C9" s="12" t="s">
        <v>96</v>
      </c>
      <c r="D9" s="15">
        <f>'CI Na_LED_CMH'!C49</f>
        <v>194</v>
      </c>
      <c r="E9" s="94">
        <f>'CI Na_LED_CMH'!D49</f>
        <v>100000</v>
      </c>
      <c r="F9" s="82">
        <v>0.04</v>
      </c>
      <c r="G9" s="99">
        <f>SUM(H9:AK9)</f>
        <v>576878672.65696418</v>
      </c>
      <c r="H9" s="28"/>
      <c r="I9" s="178">
        <f t="shared" si="1"/>
        <v>20983040.000000004</v>
      </c>
      <c r="J9" s="28"/>
      <c r="K9" s="28">
        <f t="shared" si="1"/>
        <v>22695256.064000003</v>
      </c>
      <c r="L9" s="28"/>
      <c r="M9" s="28">
        <f t="shared" si="1"/>
        <v>24547188.958822407</v>
      </c>
      <c r="N9" s="28"/>
      <c r="O9" s="28">
        <f t="shared" si="1"/>
        <v>26550239.577862319</v>
      </c>
      <c r="P9" s="28"/>
      <c r="Q9" s="28">
        <f t="shared" si="1"/>
        <v>28716739.127415884</v>
      </c>
      <c r="R9" s="28"/>
      <c r="S9" s="28">
        <f t="shared" si="1"/>
        <v>31060025.040213026</v>
      </c>
      <c r="T9" s="28"/>
      <c r="U9" s="28">
        <f t="shared" si="1"/>
        <v>33594523.08349441</v>
      </c>
      <c r="V9" s="28"/>
      <c r="W9" s="28">
        <f t="shared" si="1"/>
        <v>36335836.16710756</v>
      </c>
      <c r="X9" s="28"/>
      <c r="Y9" s="28">
        <f t="shared" si="0"/>
        <v>39300840.398343541</v>
      </c>
      <c r="Z9" s="28"/>
      <c r="AA9" s="28">
        <f t="shared" si="0"/>
        <v>42507788.974848375</v>
      </c>
      <c r="AB9" s="28"/>
      <c r="AC9" s="28">
        <f t="shared" si="0"/>
        <v>45976424.55519601</v>
      </c>
      <c r="AD9" s="28"/>
      <c r="AE9" s="28">
        <f t="shared" si="0"/>
        <v>49728100.798900001</v>
      </c>
      <c r="AF9" s="28"/>
      <c r="AG9" s="28">
        <f t="shared" si="0"/>
        <v>53785913.82409025</v>
      </c>
      <c r="AH9" s="28"/>
      <c r="AI9" s="28">
        <f t="shared" si="0"/>
        <v>58174844.39213603</v>
      </c>
      <c r="AJ9" s="28"/>
      <c r="AK9" s="28">
        <f t="shared" si="0"/>
        <v>62921911.694534317</v>
      </c>
      <c r="AL9" s="14">
        <f>COUNTIF(H9:AK9,"RS")</f>
        <v>0</v>
      </c>
    </row>
    <row r="10" spans="2:38" x14ac:dyDescent="0.25">
      <c r="B10" s="16" t="s">
        <v>23</v>
      </c>
      <c r="C10" s="17"/>
      <c r="D10" s="83"/>
      <c r="E10" s="18"/>
      <c r="F10" s="18"/>
      <c r="G10" s="100">
        <f>SUM(G6:G9)</f>
        <v>1260598843.8116846</v>
      </c>
      <c r="H10" s="19"/>
      <c r="I10" s="179">
        <f>SUM(I6:I9)</f>
        <v>45852268.800000012</v>
      </c>
      <c r="J10" s="19"/>
      <c r="K10" s="19">
        <f t="shared" ref="K10:AK10" si="2">SUM(K6:K9)</f>
        <v>49593813.934080005</v>
      </c>
      <c r="L10" s="19"/>
      <c r="M10" s="19">
        <f t="shared" si="2"/>
        <v>53640669.151100948</v>
      </c>
      <c r="N10" s="19"/>
      <c r="O10" s="19">
        <f t="shared" si="2"/>
        <v>58017747.753830791</v>
      </c>
      <c r="P10" s="19"/>
      <c r="Q10" s="19">
        <f t="shared" si="2"/>
        <v>62751995.970543385</v>
      </c>
      <c r="R10" s="19"/>
      <c r="S10" s="19">
        <f t="shared" si="2"/>
        <v>67872558.841739744</v>
      </c>
      <c r="T10" s="19"/>
      <c r="U10" s="19">
        <f t="shared" si="2"/>
        <v>73410959.6432257</v>
      </c>
      <c r="V10" s="19"/>
      <c r="W10" s="19">
        <f t="shared" si="2"/>
        <v>79401293.950112924</v>
      </c>
      <c r="X10" s="19"/>
      <c r="Y10" s="19">
        <f t="shared" si="2"/>
        <v>85880439.536442146</v>
      </c>
      <c r="Z10" s="19"/>
      <c r="AA10" s="19">
        <f t="shared" si="2"/>
        <v>92888283.40261583</v>
      </c>
      <c r="AB10" s="19"/>
      <c r="AC10" s="19">
        <f t="shared" si="2"/>
        <v>100467967.3282693</v>
      </c>
      <c r="AD10" s="19"/>
      <c r="AE10" s="19">
        <f t="shared" si="2"/>
        <v>108666153.46225607</v>
      </c>
      <c r="AF10" s="19"/>
      <c r="AG10" s="19">
        <f t="shared" si="2"/>
        <v>117533311.58477618</v>
      </c>
      <c r="AH10" s="19"/>
      <c r="AI10" s="19">
        <f t="shared" si="2"/>
        <v>127124029.81009394</v>
      </c>
      <c r="AJ10" s="19"/>
      <c r="AK10" s="19">
        <f t="shared" si="2"/>
        <v>137497350.64259759</v>
      </c>
      <c r="AL10" s="14"/>
    </row>
    <row r="11" spans="2:38" x14ac:dyDescent="0.25">
      <c r="B11" s="20"/>
      <c r="C11" s="20"/>
      <c r="D11" s="86"/>
      <c r="E11" s="20"/>
      <c r="F11" s="20"/>
      <c r="G11" s="10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2"/>
    </row>
    <row r="12" spans="2:38" ht="15.75" customHeight="1" x14ac:dyDescent="0.25">
      <c r="B12" s="227" t="s">
        <v>28</v>
      </c>
      <c r="C12" s="12" t="str">
        <f>C6</f>
        <v xml:space="preserve">150 W-SW </v>
      </c>
      <c r="D12" s="15">
        <f>+D6</f>
        <v>203</v>
      </c>
      <c r="E12" s="99">
        <v>40000</v>
      </c>
      <c r="F12" s="82">
        <v>0.04</v>
      </c>
      <c r="G12" s="99">
        <f>SUM(H12:AK12)</f>
        <v>102297365.14027402</v>
      </c>
      <c r="H12" s="28"/>
      <c r="I12" s="28"/>
      <c r="J12" s="28"/>
      <c r="K12" s="28"/>
      <c r="L12" s="28">
        <f>$D12*$E12*(1+$F12)^L$5</f>
        <v>9879221.5674880035</v>
      </c>
      <c r="M12" s="28"/>
      <c r="N12" s="28"/>
      <c r="O12" s="28"/>
      <c r="P12" s="28"/>
      <c r="Q12" s="28">
        <f>$D12*$E12*(1+$F12)^Q$5</f>
        <v>12019583.593536958</v>
      </c>
      <c r="R12" s="28"/>
      <c r="S12" s="28"/>
      <c r="T12" s="28"/>
      <c r="U12" s="28"/>
      <c r="V12" s="28">
        <f>$D12*$E12*(1+$F12)^V$5</f>
        <v>14623661.264716163</v>
      </c>
      <c r="W12" s="28"/>
      <c r="X12" s="28"/>
      <c r="Y12" s="28"/>
      <c r="Z12" s="28"/>
      <c r="AA12" s="28">
        <f>$D12*$E12*(1+$F12)^AA$5</f>
        <v>17791919.921431381</v>
      </c>
      <c r="AB12" s="28"/>
      <c r="AC12" s="28"/>
      <c r="AD12" s="28"/>
      <c r="AE12" s="28"/>
      <c r="AF12" s="28">
        <f>$D12*$E12*(1+$F12)^AF$5</f>
        <v>21646591.011677876</v>
      </c>
      <c r="AG12" s="28"/>
      <c r="AH12" s="28"/>
      <c r="AI12" s="28"/>
      <c r="AJ12" s="28"/>
      <c r="AK12" s="28">
        <f>$D12*$E12*(1+$F12)^AK$5</f>
        <v>26336387.781423643</v>
      </c>
      <c r="AL12" s="14">
        <f>COUNTIF(H12:AK12,"R")</f>
        <v>0</v>
      </c>
    </row>
    <row r="13" spans="2:38" ht="15.75" x14ac:dyDescent="0.25">
      <c r="B13" s="228"/>
      <c r="C13" s="12" t="str">
        <f>C7</f>
        <v>250 W</v>
      </c>
      <c r="D13" s="15">
        <f>+D7</f>
        <v>196</v>
      </c>
      <c r="E13" s="99">
        <v>48500</v>
      </c>
      <c r="F13" s="82">
        <v>0.04</v>
      </c>
      <c r="G13" s="99">
        <f>SUM(H13:AK13)</f>
        <v>119758467.1211139</v>
      </c>
      <c r="H13" s="28"/>
      <c r="I13" s="28"/>
      <c r="J13" s="28"/>
      <c r="K13" s="28"/>
      <c r="L13" s="28">
        <f t="shared" ref="L13" si="3">$D13*$E13*(1+$F13)^L$5</f>
        <v>11565502.490214404</v>
      </c>
      <c r="M13" s="28"/>
      <c r="N13" s="28"/>
      <c r="O13" s="28"/>
      <c r="P13" s="28"/>
      <c r="Q13" s="28">
        <f t="shared" ref="Q13:Q15" si="4">$D13*$E13*(1+$F13)^Q$5</f>
        <v>14071202.172433784</v>
      </c>
      <c r="R13" s="28"/>
      <c r="S13" s="28"/>
      <c r="T13" s="28"/>
      <c r="U13" s="28"/>
      <c r="V13" s="28">
        <f t="shared" ref="V13:V15" si="5">$D13*$E13*(1+$F13)^V$5</f>
        <v>17119768.96334875</v>
      </c>
      <c r="W13" s="28"/>
      <c r="X13" s="28"/>
      <c r="Y13" s="28"/>
      <c r="Z13" s="28"/>
      <c r="AA13" s="28">
        <f t="shared" ref="AA13:AA15" si="6">$D13*$E13*(1+$F13)^AA$5</f>
        <v>20828816.597675703</v>
      </c>
      <c r="AB13" s="28"/>
      <c r="AC13" s="28"/>
      <c r="AD13" s="28"/>
      <c r="AE13" s="28"/>
      <c r="AF13" s="28">
        <f t="shared" ref="AF13:AF15" si="7">$D13*$E13*(1+$F13)^AF$5</f>
        <v>25341440.167119447</v>
      </c>
      <c r="AG13" s="28"/>
      <c r="AH13" s="28"/>
      <c r="AI13" s="28"/>
      <c r="AJ13" s="28"/>
      <c r="AK13" s="28">
        <f t="shared" ref="AK13:AK15" si="8">$D13*$E13*(1+$F13)^AK$5</f>
        <v>30831736.730321817</v>
      </c>
      <c r="AL13" s="14">
        <f>COUNTIF(H13:AK13,"R")</f>
        <v>0</v>
      </c>
    </row>
    <row r="14" spans="2:38" ht="15.75" x14ac:dyDescent="0.25">
      <c r="B14" s="228"/>
      <c r="C14" s="12" t="str">
        <f>C8</f>
        <v xml:space="preserve">250W-CMH </v>
      </c>
      <c r="D14" s="15">
        <f>+D8</f>
        <v>10</v>
      </c>
      <c r="E14" s="99">
        <v>48500</v>
      </c>
      <c r="F14" s="82">
        <v>0.04</v>
      </c>
      <c r="G14" s="99">
        <f>SUM(H14:AK14)</f>
        <v>6110125.8735262193</v>
      </c>
      <c r="H14" s="28"/>
      <c r="I14" s="28"/>
      <c r="J14" s="28"/>
      <c r="K14" s="28"/>
      <c r="L14" s="28">
        <f>$D14*$E14*(1+$F14)^L$5</f>
        <v>590076.65766400017</v>
      </c>
      <c r="M14" s="28"/>
      <c r="N14" s="28"/>
      <c r="O14" s="28"/>
      <c r="P14" s="28"/>
      <c r="Q14" s="28">
        <f t="shared" si="4"/>
        <v>717918.47818539711</v>
      </c>
      <c r="R14" s="28"/>
      <c r="S14" s="28"/>
      <c r="T14" s="28"/>
      <c r="U14" s="28"/>
      <c r="V14" s="28">
        <f t="shared" si="5"/>
        <v>873457.6001708546</v>
      </c>
      <c r="W14" s="28"/>
      <c r="X14" s="28"/>
      <c r="Y14" s="28"/>
      <c r="Z14" s="28"/>
      <c r="AA14" s="28">
        <f t="shared" si="6"/>
        <v>1062694.7243712093</v>
      </c>
      <c r="AB14" s="28"/>
      <c r="AC14" s="28"/>
      <c r="AD14" s="28"/>
      <c r="AE14" s="28"/>
      <c r="AF14" s="28">
        <f t="shared" si="7"/>
        <v>1292930.6207714004</v>
      </c>
      <c r="AG14" s="28"/>
      <c r="AH14" s="28"/>
      <c r="AI14" s="28"/>
      <c r="AJ14" s="28"/>
      <c r="AK14" s="28">
        <f t="shared" si="8"/>
        <v>1573047.792363358</v>
      </c>
      <c r="AL14" s="14">
        <f>COUNTIF(H14:AK14,"R")</f>
        <v>0</v>
      </c>
    </row>
    <row r="15" spans="2:38" ht="15.75" x14ac:dyDescent="0.25">
      <c r="B15" s="229"/>
      <c r="C15" s="12" t="str">
        <f>C9</f>
        <v>400W-CMH</v>
      </c>
      <c r="D15" s="15">
        <f>D9</f>
        <v>194</v>
      </c>
      <c r="E15" s="99">
        <v>60000</v>
      </c>
      <c r="F15" s="82">
        <v>0.04</v>
      </c>
      <c r="G15" s="99">
        <f>SUM(H15:AK15)</f>
        <v>146643021.96462926</v>
      </c>
      <c r="H15" s="28"/>
      <c r="I15" s="28"/>
      <c r="J15" s="28">
        <v>1</v>
      </c>
      <c r="K15" s="28"/>
      <c r="L15" s="28">
        <f>$D15*$E15*(1+$F15)^L$5</f>
        <v>14161839.783936003</v>
      </c>
      <c r="M15" s="28"/>
      <c r="N15" s="28"/>
      <c r="O15" s="28"/>
      <c r="P15" s="28"/>
      <c r="Q15" s="28">
        <f t="shared" si="4"/>
        <v>17230043.476449531</v>
      </c>
      <c r="R15" s="28"/>
      <c r="S15" s="28"/>
      <c r="T15" s="28"/>
      <c r="U15" s="28"/>
      <c r="V15" s="28">
        <f t="shared" si="5"/>
        <v>20962982.404100511</v>
      </c>
      <c r="W15" s="28"/>
      <c r="X15" s="28"/>
      <c r="Y15" s="28"/>
      <c r="Z15" s="28"/>
      <c r="AA15" s="28">
        <f t="shared" si="6"/>
        <v>25504673.384909023</v>
      </c>
      <c r="AB15" s="28"/>
      <c r="AC15" s="28"/>
      <c r="AD15" s="28"/>
      <c r="AE15" s="28"/>
      <c r="AF15" s="28">
        <f t="shared" si="7"/>
        <v>31030334.898513608</v>
      </c>
      <c r="AG15" s="28"/>
      <c r="AH15" s="28"/>
      <c r="AI15" s="28"/>
      <c r="AJ15" s="28"/>
      <c r="AK15" s="28">
        <f t="shared" si="8"/>
        <v>37753147.016720593</v>
      </c>
      <c r="AL15" s="14"/>
    </row>
    <row r="16" spans="2:38" x14ac:dyDescent="0.25">
      <c r="B16" s="23" t="s">
        <v>50</v>
      </c>
      <c r="C16" s="24"/>
      <c r="D16" s="84"/>
      <c r="E16" s="25"/>
      <c r="F16" s="25"/>
      <c r="G16" s="100">
        <f>SUM(G12:G15)</f>
        <v>374808980.09954339</v>
      </c>
      <c r="H16" s="19"/>
      <c r="I16" s="19"/>
      <c r="J16" s="19"/>
      <c r="K16" s="19"/>
      <c r="L16" s="19">
        <f>SUM(L12:L15)</f>
        <v>36196640.49930241</v>
      </c>
      <c r="M16" s="19">
        <f t="shared" ref="M16:P16" si="9">SUM(M12:M15)</f>
        <v>0</v>
      </c>
      <c r="N16" s="19">
        <f t="shared" si="9"/>
        <v>0</v>
      </c>
      <c r="O16" s="19">
        <f t="shared" si="9"/>
        <v>0</v>
      </c>
      <c r="P16" s="19">
        <f t="shared" si="9"/>
        <v>0</v>
      </c>
      <c r="Q16" s="19">
        <f>SUM(Q12:Q15)</f>
        <v>44038747.720605671</v>
      </c>
      <c r="R16" s="19">
        <f t="shared" ref="R16:AK16" si="10">SUM(R12:R15)</f>
        <v>0</v>
      </c>
      <c r="S16" s="19">
        <f t="shared" si="10"/>
        <v>0</v>
      </c>
      <c r="T16" s="19">
        <f t="shared" si="10"/>
        <v>0</v>
      </c>
      <c r="U16" s="19">
        <f t="shared" si="10"/>
        <v>0</v>
      </c>
      <c r="V16" s="19">
        <f t="shared" si="10"/>
        <v>53579870.232336283</v>
      </c>
      <c r="W16" s="19">
        <f t="shared" si="10"/>
        <v>0</v>
      </c>
      <c r="X16" s="19">
        <f t="shared" si="10"/>
        <v>0</v>
      </c>
      <c r="Y16" s="19">
        <f t="shared" si="10"/>
        <v>0</v>
      </c>
      <c r="Z16" s="19">
        <f t="shared" si="10"/>
        <v>0</v>
      </c>
      <c r="AA16" s="19">
        <f t="shared" si="10"/>
        <v>65188104.628387317</v>
      </c>
      <c r="AB16" s="19">
        <f t="shared" si="10"/>
        <v>0</v>
      </c>
      <c r="AC16" s="19">
        <f t="shared" si="10"/>
        <v>0</v>
      </c>
      <c r="AD16" s="19">
        <f t="shared" si="10"/>
        <v>0</v>
      </c>
      <c r="AE16" s="19">
        <f t="shared" si="10"/>
        <v>0</v>
      </c>
      <c r="AF16" s="19">
        <f t="shared" si="10"/>
        <v>79311296.698082328</v>
      </c>
      <c r="AG16" s="19">
        <f t="shared" si="10"/>
        <v>0</v>
      </c>
      <c r="AH16" s="19">
        <f t="shared" si="10"/>
        <v>0</v>
      </c>
      <c r="AI16" s="19">
        <f t="shared" si="10"/>
        <v>0</v>
      </c>
      <c r="AJ16" s="19">
        <f t="shared" si="10"/>
        <v>0</v>
      </c>
      <c r="AK16" s="19">
        <f t="shared" si="10"/>
        <v>96494319.320829421</v>
      </c>
      <c r="AL16" s="14"/>
    </row>
    <row r="17" spans="2:38" x14ac:dyDescent="0.25">
      <c r="B17" s="20"/>
      <c r="C17" s="20"/>
      <c r="D17" s="86"/>
      <c r="E17" s="20"/>
      <c r="F17" s="20"/>
      <c r="G17" s="10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2"/>
    </row>
    <row r="18" spans="2:38" ht="15.75" customHeight="1" x14ac:dyDescent="0.25">
      <c r="B18" s="227" t="s">
        <v>25</v>
      </c>
      <c r="C18" s="12" t="str">
        <f>C6</f>
        <v xml:space="preserve">150 W-SW </v>
      </c>
      <c r="D18" s="15">
        <f>+D6</f>
        <v>203</v>
      </c>
      <c r="E18" s="99">
        <v>2100</v>
      </c>
      <c r="F18" s="82">
        <v>0.04</v>
      </c>
      <c r="G18" s="99">
        <f>SUM(H18:AK18)</f>
        <v>24865369.321643244</v>
      </c>
      <c r="H18" s="28">
        <f>$D18*$E18*(1+$F18)^H$5</f>
        <v>443352</v>
      </c>
      <c r="I18" s="28">
        <f>$D18*$E18*(1+$F18)^I$5</f>
        <v>461086.08000000007</v>
      </c>
      <c r="J18" s="28">
        <f t="shared" ref="J18:AK21" si="11">$D18*$E18*(1+$F18)^J$5</f>
        <v>479529.52320000005</v>
      </c>
      <c r="K18" s="28">
        <f t="shared" si="11"/>
        <v>498710.70412800007</v>
      </c>
      <c r="L18" s="28">
        <f t="shared" si="11"/>
        <v>518659.13229312014</v>
      </c>
      <c r="M18" s="28">
        <f t="shared" si="11"/>
        <v>539405.49758484494</v>
      </c>
      <c r="N18" s="28">
        <f t="shared" si="11"/>
        <v>560981.7174882387</v>
      </c>
      <c r="O18" s="28">
        <f t="shared" si="11"/>
        <v>583420.9861877684</v>
      </c>
      <c r="P18" s="28">
        <f t="shared" si="11"/>
        <v>606757.82563527918</v>
      </c>
      <c r="Q18" s="28">
        <f t="shared" si="11"/>
        <v>631028.13866069028</v>
      </c>
      <c r="R18" s="28">
        <f t="shared" si="11"/>
        <v>656269.26420711784</v>
      </c>
      <c r="S18" s="28">
        <f t="shared" si="11"/>
        <v>682520.03477540275</v>
      </c>
      <c r="T18" s="28">
        <f t="shared" si="11"/>
        <v>709820.83616641886</v>
      </c>
      <c r="U18" s="28">
        <f t="shared" si="11"/>
        <v>738213.66961307556</v>
      </c>
      <c r="V18" s="28">
        <f t="shared" si="11"/>
        <v>767742.21639759862</v>
      </c>
      <c r="W18" s="28">
        <f t="shared" si="11"/>
        <v>798451.90505350265</v>
      </c>
      <c r="X18" s="28">
        <f t="shared" si="11"/>
        <v>830389.98125564284</v>
      </c>
      <c r="Y18" s="28">
        <f t="shared" si="11"/>
        <v>863605.58050586865</v>
      </c>
      <c r="Z18" s="28">
        <f t="shared" si="11"/>
        <v>898149.80372610339</v>
      </c>
      <c r="AA18" s="28">
        <f t="shared" si="11"/>
        <v>934075.79587514745</v>
      </c>
      <c r="AB18" s="28">
        <f t="shared" si="11"/>
        <v>971438.82771015365</v>
      </c>
      <c r="AC18" s="28">
        <f t="shared" si="11"/>
        <v>1010296.3808185597</v>
      </c>
      <c r="AD18" s="28">
        <f t="shared" si="11"/>
        <v>1050708.2360513019</v>
      </c>
      <c r="AE18" s="28">
        <f t="shared" si="11"/>
        <v>1092736.5654933541</v>
      </c>
      <c r="AF18" s="28">
        <f t="shared" si="11"/>
        <v>1136446.0281130886</v>
      </c>
      <c r="AG18" s="28">
        <f t="shared" si="11"/>
        <v>1181903.869237612</v>
      </c>
      <c r="AH18" s="28">
        <f t="shared" si="11"/>
        <v>1229180.0240071164</v>
      </c>
      <c r="AI18" s="28">
        <f t="shared" si="11"/>
        <v>1278347.2249674015</v>
      </c>
      <c r="AJ18" s="28">
        <f t="shared" si="11"/>
        <v>1329481.1139660976</v>
      </c>
      <c r="AK18" s="28">
        <f t="shared" si="11"/>
        <v>1382660.3585247414</v>
      </c>
      <c r="AL18" s="14">
        <f>COUNTIF(H18:AK18,"RS")</f>
        <v>0</v>
      </c>
    </row>
    <row r="19" spans="2:38" ht="15.75" x14ac:dyDescent="0.25">
      <c r="B19" s="228"/>
      <c r="C19" s="12" t="str">
        <f t="shared" ref="C19:C20" si="12">C7</f>
        <v>250 W</v>
      </c>
      <c r="D19" s="15">
        <f>+D7</f>
        <v>196</v>
      </c>
      <c r="E19" s="99">
        <v>2100</v>
      </c>
      <c r="F19" s="82">
        <v>0.04</v>
      </c>
      <c r="G19" s="99">
        <f>SUM(H19:AK19)</f>
        <v>24007942.793310724</v>
      </c>
      <c r="H19" s="28">
        <f t="shared" ref="H19:W21" si="13">$D19*$E19*(1+$F19)^H$5</f>
        <v>428064</v>
      </c>
      <c r="I19" s="28">
        <f t="shared" si="13"/>
        <v>445186.56000000006</v>
      </c>
      <c r="J19" s="28">
        <f t="shared" si="11"/>
        <v>462994.02240000002</v>
      </c>
      <c r="K19" s="28">
        <f t="shared" si="11"/>
        <v>481513.7832960001</v>
      </c>
      <c r="L19" s="28">
        <f t="shared" si="11"/>
        <v>500774.33462784014</v>
      </c>
      <c r="M19" s="28">
        <f t="shared" si="11"/>
        <v>520805.30801295373</v>
      </c>
      <c r="N19" s="28">
        <f t="shared" si="11"/>
        <v>541637.52033347182</v>
      </c>
      <c r="O19" s="28">
        <f t="shared" si="11"/>
        <v>563303.02114681085</v>
      </c>
      <c r="P19" s="28">
        <f t="shared" si="11"/>
        <v>585835.14199268329</v>
      </c>
      <c r="Q19" s="28">
        <f t="shared" si="11"/>
        <v>609268.54767239059</v>
      </c>
      <c r="R19" s="28">
        <f t="shared" si="11"/>
        <v>633639.28957928624</v>
      </c>
      <c r="S19" s="28">
        <f t="shared" si="11"/>
        <v>658984.86116245785</v>
      </c>
      <c r="T19" s="28">
        <f t="shared" si="11"/>
        <v>685344.2556089561</v>
      </c>
      <c r="U19" s="28">
        <f t="shared" si="11"/>
        <v>712758.0258333144</v>
      </c>
      <c r="V19" s="28">
        <f t="shared" si="11"/>
        <v>741268.3468666469</v>
      </c>
      <c r="W19" s="28">
        <f t="shared" si="11"/>
        <v>770919.08074131294</v>
      </c>
      <c r="X19" s="28">
        <f t="shared" si="11"/>
        <v>801755.84397096548</v>
      </c>
      <c r="Y19" s="28">
        <f t="shared" si="11"/>
        <v>833826.07772980421</v>
      </c>
      <c r="Z19" s="28">
        <f t="shared" si="11"/>
        <v>867179.12083899637</v>
      </c>
      <c r="AA19" s="28">
        <f t="shared" si="11"/>
        <v>901866.28567255614</v>
      </c>
      <c r="AB19" s="28">
        <f t="shared" si="11"/>
        <v>937940.93709945865</v>
      </c>
      <c r="AC19" s="28">
        <f t="shared" si="11"/>
        <v>975458.57458343694</v>
      </c>
      <c r="AD19" s="28">
        <f t="shared" si="11"/>
        <v>1014476.9175667743</v>
      </c>
      <c r="AE19" s="28">
        <f t="shared" si="11"/>
        <v>1055055.9942694453</v>
      </c>
      <c r="AF19" s="28">
        <f t="shared" si="11"/>
        <v>1097258.2340402235</v>
      </c>
      <c r="AG19" s="28">
        <f t="shared" si="11"/>
        <v>1141148.5634018322</v>
      </c>
      <c r="AH19" s="28">
        <f t="shared" si="11"/>
        <v>1186794.5059379055</v>
      </c>
      <c r="AI19" s="28">
        <f t="shared" si="11"/>
        <v>1234266.2861754221</v>
      </c>
      <c r="AJ19" s="28">
        <f t="shared" si="11"/>
        <v>1283636.9376224391</v>
      </c>
      <c r="AK19" s="28">
        <f t="shared" si="11"/>
        <v>1334982.4151273365</v>
      </c>
      <c r="AL19" s="14">
        <f>COUNTIF(H19:AK19,"RS")</f>
        <v>0</v>
      </c>
    </row>
    <row r="20" spans="2:38" ht="15.75" x14ac:dyDescent="0.25">
      <c r="B20" s="228"/>
      <c r="C20" s="12" t="str">
        <f t="shared" si="12"/>
        <v xml:space="preserve">250W-CMH </v>
      </c>
      <c r="D20" s="15">
        <f>+D8</f>
        <v>10</v>
      </c>
      <c r="E20" s="99">
        <v>2100</v>
      </c>
      <c r="F20" s="82">
        <v>0.04</v>
      </c>
      <c r="G20" s="99">
        <f>SUM(H20:AK20)</f>
        <v>1224895.0404750369</v>
      </c>
      <c r="H20" s="28">
        <f t="shared" si="13"/>
        <v>21840</v>
      </c>
      <c r="I20" s="28">
        <f t="shared" si="13"/>
        <v>22713.600000000002</v>
      </c>
      <c r="J20" s="28">
        <f t="shared" si="11"/>
        <v>23622.144</v>
      </c>
      <c r="K20" s="28">
        <f t="shared" si="11"/>
        <v>24567.029760000005</v>
      </c>
      <c r="L20" s="28">
        <f t="shared" si="11"/>
        <v>25549.710950400007</v>
      </c>
      <c r="M20" s="28">
        <f t="shared" si="11"/>
        <v>26571.699388416007</v>
      </c>
      <c r="N20" s="28">
        <f t="shared" si="11"/>
        <v>27634.567363952647</v>
      </c>
      <c r="O20" s="28">
        <f t="shared" si="11"/>
        <v>28739.950058510756</v>
      </c>
      <c r="P20" s="28">
        <f t="shared" si="11"/>
        <v>29889.54806085119</v>
      </c>
      <c r="Q20" s="28">
        <f t="shared" si="11"/>
        <v>31085.129983285235</v>
      </c>
      <c r="R20" s="28">
        <f t="shared" si="11"/>
        <v>32328.535182616644</v>
      </c>
      <c r="S20" s="28">
        <f t="shared" si="11"/>
        <v>33621.676589921313</v>
      </c>
      <c r="T20" s="28">
        <f t="shared" si="11"/>
        <v>34966.543653518173</v>
      </c>
      <c r="U20" s="28">
        <f t="shared" si="11"/>
        <v>36365.205399658895</v>
      </c>
      <c r="V20" s="28">
        <f t="shared" si="11"/>
        <v>37819.813615645253</v>
      </c>
      <c r="W20" s="28">
        <f t="shared" si="11"/>
        <v>39332.606160271069</v>
      </c>
      <c r="X20" s="28">
        <f t="shared" si="11"/>
        <v>40905.910406681913</v>
      </c>
      <c r="Y20" s="28">
        <f t="shared" si="11"/>
        <v>42542.146822949195</v>
      </c>
      <c r="Z20" s="28">
        <f t="shared" si="11"/>
        <v>44243.832695867161</v>
      </c>
      <c r="AA20" s="28">
        <f t="shared" si="11"/>
        <v>46013.586003701843</v>
      </c>
      <c r="AB20" s="28">
        <f t="shared" si="11"/>
        <v>47854.129443849932</v>
      </c>
      <c r="AC20" s="28">
        <f t="shared" si="11"/>
        <v>49768.294621603927</v>
      </c>
      <c r="AD20" s="28">
        <f t="shared" si="11"/>
        <v>51759.026406468081</v>
      </c>
      <c r="AE20" s="28">
        <f t="shared" si="11"/>
        <v>53829.387462726809</v>
      </c>
      <c r="AF20" s="28">
        <f t="shared" si="11"/>
        <v>55982.56296123589</v>
      </c>
      <c r="AG20" s="28">
        <f t="shared" si="11"/>
        <v>58221.865479685322</v>
      </c>
      <c r="AH20" s="28">
        <f t="shared" si="11"/>
        <v>60550.740098872731</v>
      </c>
      <c r="AI20" s="28">
        <f t="shared" si="11"/>
        <v>62972.76970282766</v>
      </c>
      <c r="AJ20" s="28">
        <f t="shared" si="11"/>
        <v>65491.680490940766</v>
      </c>
      <c r="AK20" s="28">
        <f t="shared" si="11"/>
        <v>68111.347710578382</v>
      </c>
      <c r="AL20" s="14">
        <f>COUNTIF(H20:AK20,"RS")</f>
        <v>0</v>
      </c>
    </row>
    <row r="21" spans="2:38" ht="15.75" x14ac:dyDescent="0.25">
      <c r="B21" s="229"/>
      <c r="C21" s="12" t="str">
        <f>C9</f>
        <v>400W-CMH</v>
      </c>
      <c r="D21" s="15">
        <f>D9</f>
        <v>194</v>
      </c>
      <c r="E21" s="99">
        <v>2100</v>
      </c>
      <c r="F21" s="82">
        <v>0.04</v>
      </c>
      <c r="G21" s="99">
        <f>SUM(H21:AK21)</f>
        <v>23762963.785215721</v>
      </c>
      <c r="H21" s="28">
        <f>$D21*$E21*(1+$F21)^H$5</f>
        <v>423696</v>
      </c>
      <c r="I21" s="28">
        <f t="shared" si="13"/>
        <v>440643.84000000003</v>
      </c>
      <c r="J21" s="28">
        <f t="shared" si="13"/>
        <v>458269.59360000002</v>
      </c>
      <c r="K21" s="28">
        <f t="shared" si="13"/>
        <v>476600.3773440001</v>
      </c>
      <c r="L21" s="28">
        <f t="shared" si="13"/>
        <v>495664.39243776014</v>
      </c>
      <c r="M21" s="28">
        <f t="shared" si="13"/>
        <v>515490.96813527052</v>
      </c>
      <c r="N21" s="28">
        <f t="shared" si="13"/>
        <v>536110.60686068132</v>
      </c>
      <c r="O21" s="28">
        <f t="shared" si="13"/>
        <v>557555.03113510867</v>
      </c>
      <c r="P21" s="28">
        <f t="shared" si="13"/>
        <v>579857.2323805131</v>
      </c>
      <c r="Q21" s="28">
        <f t="shared" si="13"/>
        <v>603051.52167573362</v>
      </c>
      <c r="R21" s="28">
        <f t="shared" si="13"/>
        <v>627173.58254276286</v>
      </c>
      <c r="S21" s="28">
        <f t="shared" si="13"/>
        <v>652260.52584447351</v>
      </c>
      <c r="T21" s="28">
        <f t="shared" si="13"/>
        <v>678350.94687825255</v>
      </c>
      <c r="U21" s="28">
        <f t="shared" si="13"/>
        <v>705484.98475338263</v>
      </c>
      <c r="V21" s="28">
        <f t="shared" si="13"/>
        <v>733704.38414351782</v>
      </c>
      <c r="W21" s="28">
        <f t="shared" si="13"/>
        <v>763052.55950925872</v>
      </c>
      <c r="X21" s="28">
        <f t="shared" si="11"/>
        <v>793574.66188962909</v>
      </c>
      <c r="Y21" s="28">
        <f t="shared" si="11"/>
        <v>825317.64836521435</v>
      </c>
      <c r="Z21" s="28">
        <f t="shared" si="11"/>
        <v>858330.35429982294</v>
      </c>
      <c r="AA21" s="28">
        <f t="shared" si="11"/>
        <v>892663.56847181579</v>
      </c>
      <c r="AB21" s="28">
        <f t="shared" si="11"/>
        <v>928370.11121068872</v>
      </c>
      <c r="AC21" s="28">
        <f t="shared" si="11"/>
        <v>965504.91565911623</v>
      </c>
      <c r="AD21" s="28">
        <f t="shared" si="11"/>
        <v>1004125.1122854807</v>
      </c>
      <c r="AE21" s="28">
        <f t="shared" si="11"/>
        <v>1044290.1167769</v>
      </c>
      <c r="AF21" s="28">
        <f t="shared" si="11"/>
        <v>1086061.7214479763</v>
      </c>
      <c r="AG21" s="28">
        <f t="shared" si="11"/>
        <v>1129504.1903058952</v>
      </c>
      <c r="AH21" s="28">
        <f t="shared" si="11"/>
        <v>1174684.3579181309</v>
      </c>
      <c r="AI21" s="28">
        <f t="shared" si="11"/>
        <v>1221671.7322348566</v>
      </c>
      <c r="AJ21" s="28">
        <f t="shared" si="11"/>
        <v>1270538.6015242508</v>
      </c>
      <c r="AK21" s="28">
        <f t="shared" si="11"/>
        <v>1321360.1455852208</v>
      </c>
      <c r="AL21" s="14">
        <f>COUNTIF(H21:AK21,"RS")</f>
        <v>0</v>
      </c>
    </row>
    <row r="22" spans="2:38" x14ac:dyDescent="0.25">
      <c r="B22" s="16" t="s">
        <v>24</v>
      </c>
      <c r="C22" s="17"/>
      <c r="D22" s="83"/>
      <c r="E22" s="18"/>
      <c r="F22" s="18"/>
      <c r="G22" s="100">
        <f>SUM(G18:G21)</f>
        <v>73861170.940644726</v>
      </c>
      <c r="H22" s="19">
        <f>SUM(H18:H21)</f>
        <v>1316952</v>
      </c>
      <c r="I22" s="19">
        <f t="shared" ref="I22:AK22" si="14">SUM(I18:I21)</f>
        <v>1369630.08</v>
      </c>
      <c r="J22" s="19">
        <f t="shared" si="14"/>
        <v>1424415.2831999999</v>
      </c>
      <c r="K22" s="19">
        <f t="shared" si="14"/>
        <v>1481391.8945280004</v>
      </c>
      <c r="L22" s="19">
        <f t="shared" si="14"/>
        <v>1540647.5703091202</v>
      </c>
      <c r="M22" s="19">
        <f t="shared" si="14"/>
        <v>1602273.4731214852</v>
      </c>
      <c r="N22" s="19">
        <f t="shared" si="14"/>
        <v>1666364.4120463445</v>
      </c>
      <c r="O22" s="19">
        <f t="shared" si="14"/>
        <v>1733018.9885281986</v>
      </c>
      <c r="P22" s="19">
        <f t="shared" si="14"/>
        <v>1802339.7480693269</v>
      </c>
      <c r="Q22" s="19">
        <f t="shared" si="14"/>
        <v>1874433.3379920996</v>
      </c>
      <c r="R22" s="19">
        <f t="shared" si="14"/>
        <v>1949410.6715117835</v>
      </c>
      <c r="S22" s="19">
        <f t="shared" si="14"/>
        <v>2027387.0983722555</v>
      </c>
      <c r="T22" s="19">
        <f t="shared" si="14"/>
        <v>2108482.5823071459</v>
      </c>
      <c r="U22" s="19">
        <f t="shared" si="14"/>
        <v>2192821.8855994316</v>
      </c>
      <c r="V22" s="19">
        <f t="shared" si="14"/>
        <v>2280534.7610234087</v>
      </c>
      <c r="W22" s="19">
        <f t="shared" si="14"/>
        <v>2371756.1514643454</v>
      </c>
      <c r="X22" s="19">
        <f t="shared" si="14"/>
        <v>2466626.3975229193</v>
      </c>
      <c r="Y22" s="19">
        <f t="shared" si="14"/>
        <v>2565291.4534238363</v>
      </c>
      <c r="Z22" s="19">
        <f t="shared" si="14"/>
        <v>2667903.1115607899</v>
      </c>
      <c r="AA22" s="19">
        <f t="shared" si="14"/>
        <v>2774619.2360232212</v>
      </c>
      <c r="AB22" s="19">
        <f t="shared" si="14"/>
        <v>2885604.0054641506</v>
      </c>
      <c r="AC22" s="19">
        <f t="shared" si="14"/>
        <v>3001028.1656827168</v>
      </c>
      <c r="AD22" s="19">
        <f t="shared" si="14"/>
        <v>3121069.2923100251</v>
      </c>
      <c r="AE22" s="19">
        <f t="shared" si="14"/>
        <v>3245912.0640024259</v>
      </c>
      <c r="AF22" s="19">
        <f t="shared" si="14"/>
        <v>3375748.5465625245</v>
      </c>
      <c r="AG22" s="19">
        <f t="shared" si="14"/>
        <v>3510778.4884250248</v>
      </c>
      <c r="AH22" s="19">
        <f t="shared" si="14"/>
        <v>3651209.6279620258</v>
      </c>
      <c r="AI22" s="19">
        <f t="shared" si="14"/>
        <v>3797258.013080508</v>
      </c>
      <c r="AJ22" s="19">
        <f t="shared" si="14"/>
        <v>3949148.3336037286</v>
      </c>
      <c r="AK22" s="19">
        <f t="shared" si="14"/>
        <v>4107114.2669478767</v>
      </c>
      <c r="AL22" s="14"/>
    </row>
    <row r="23" spans="2:38" x14ac:dyDescent="0.25">
      <c r="B23" s="20"/>
      <c r="C23" s="20"/>
      <c r="D23" s="86"/>
      <c r="E23" s="20"/>
      <c r="F23" s="20"/>
      <c r="G23" s="10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2"/>
    </row>
    <row r="24" spans="2:38" ht="15.75" customHeight="1" x14ac:dyDescent="0.25">
      <c r="B24" s="227" t="s">
        <v>60</v>
      </c>
      <c r="C24" s="12">
        <v>150</v>
      </c>
      <c r="D24" s="15">
        <f>+D6</f>
        <v>203</v>
      </c>
      <c r="E24" s="99">
        <f>'CI Na_LED_CMH'!D41-E6-E12</f>
        <v>128500</v>
      </c>
      <c r="F24" s="82">
        <v>0.04</v>
      </c>
      <c r="G24" s="99">
        <f>SUM(H24:AK24)</f>
        <v>48857652.285416715</v>
      </c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>
        <f t="shared" ref="W24:W27" si="15">$D24*$E24*(1+$F24)^W$5</f>
        <v>48857652.285416715</v>
      </c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14">
        <f>COUNTIF(H24:AK24,"RS")</f>
        <v>0</v>
      </c>
    </row>
    <row r="25" spans="2:38" ht="15.75" x14ac:dyDescent="0.25">
      <c r="B25" s="228"/>
      <c r="C25" s="12">
        <v>250</v>
      </c>
      <c r="D25" s="15">
        <f>+D7</f>
        <v>196</v>
      </c>
      <c r="E25" s="99">
        <f>'CI Na_LED_CMH'!D42-E7-E13</f>
        <v>115000</v>
      </c>
      <c r="F25" s="82">
        <v>0.04</v>
      </c>
      <c r="G25" s="99">
        <f>SUM(H25:AK25)</f>
        <v>42216997.278690949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>
        <f t="shared" si="15"/>
        <v>42216997.278690949</v>
      </c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14">
        <f>COUNTIF(H25:AK25,"RS")</f>
        <v>0</v>
      </c>
    </row>
    <row r="26" spans="2:38" ht="15.75" x14ac:dyDescent="0.25">
      <c r="B26" s="228"/>
      <c r="C26" s="12">
        <v>250</v>
      </c>
      <c r="D26" s="15">
        <f>+D8</f>
        <v>10</v>
      </c>
      <c r="E26" s="99">
        <f>'CI Na_LED_CMH'!D43-E8-E14</f>
        <v>249200</v>
      </c>
      <c r="F26" s="82">
        <v>0.04</v>
      </c>
      <c r="G26" s="99">
        <f>SUM(H26:AK26)</f>
        <v>4667469.264352167</v>
      </c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>
        <f t="shared" si="15"/>
        <v>4667469.264352167</v>
      </c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14">
        <f>COUNTIF(H26:AK26,"RS")</f>
        <v>0</v>
      </c>
    </row>
    <row r="27" spans="2:38" ht="15.75" x14ac:dyDescent="0.25">
      <c r="B27" s="229"/>
      <c r="C27" s="12">
        <v>400</v>
      </c>
      <c r="D27" s="15">
        <f>D9</f>
        <v>194</v>
      </c>
      <c r="E27" s="99">
        <f>'CI Na_LED_CMH'!D44-E9-E15</f>
        <v>217300</v>
      </c>
      <c r="F27" s="82">
        <v>0.04</v>
      </c>
      <c r="G27" s="99">
        <f>SUM(H27:AK27)</f>
        <v>78957771.991124719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>
        <f t="shared" si="15"/>
        <v>78957771.991124719</v>
      </c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14">
        <f>COUNTIF(H27:AK27,"RS")</f>
        <v>0</v>
      </c>
    </row>
    <row r="28" spans="2:38" x14ac:dyDescent="0.25">
      <c r="B28" s="16" t="s">
        <v>24</v>
      </c>
      <c r="C28" s="17"/>
      <c r="D28" s="83"/>
      <c r="E28" s="18"/>
      <c r="F28" s="18"/>
      <c r="G28" s="100">
        <f>SUM(G24:G27)</f>
        <v>174699890.81958455</v>
      </c>
      <c r="H28" s="19">
        <f t="shared" ref="H28:V28" si="16">SUM(H24:H26)</f>
        <v>0</v>
      </c>
      <c r="I28" s="19">
        <f t="shared" si="16"/>
        <v>0</v>
      </c>
      <c r="J28" s="19">
        <f t="shared" si="16"/>
        <v>0</v>
      </c>
      <c r="K28" s="19">
        <f t="shared" si="16"/>
        <v>0</v>
      </c>
      <c r="L28" s="19">
        <f t="shared" si="16"/>
        <v>0</v>
      </c>
      <c r="M28" s="19">
        <f t="shared" si="16"/>
        <v>0</v>
      </c>
      <c r="N28" s="19">
        <f t="shared" si="16"/>
        <v>0</v>
      </c>
      <c r="O28" s="19">
        <f t="shared" si="16"/>
        <v>0</v>
      </c>
      <c r="P28" s="19">
        <f t="shared" si="16"/>
        <v>0</v>
      </c>
      <c r="Q28" s="19">
        <f t="shared" si="16"/>
        <v>0</v>
      </c>
      <c r="R28" s="19">
        <f t="shared" si="16"/>
        <v>0</v>
      </c>
      <c r="S28" s="19">
        <f t="shared" si="16"/>
        <v>0</v>
      </c>
      <c r="T28" s="19">
        <f t="shared" si="16"/>
        <v>0</v>
      </c>
      <c r="U28" s="19">
        <f t="shared" si="16"/>
        <v>0</v>
      </c>
      <c r="V28" s="19">
        <f t="shared" si="16"/>
        <v>0</v>
      </c>
      <c r="W28" s="19">
        <f>SUM(W24:W27)</f>
        <v>174699890.81958455</v>
      </c>
      <c r="X28" s="19">
        <f t="shared" ref="X28:AK28" si="17">SUM(X24:X26)</f>
        <v>0</v>
      </c>
      <c r="Y28" s="19">
        <f t="shared" si="17"/>
        <v>0</v>
      </c>
      <c r="Z28" s="19">
        <f t="shared" si="17"/>
        <v>0</v>
      </c>
      <c r="AA28" s="19">
        <f t="shared" si="17"/>
        <v>0</v>
      </c>
      <c r="AB28" s="19">
        <f t="shared" si="17"/>
        <v>0</v>
      </c>
      <c r="AC28" s="19">
        <f t="shared" si="17"/>
        <v>0</v>
      </c>
      <c r="AD28" s="19">
        <f t="shared" si="17"/>
        <v>0</v>
      </c>
      <c r="AE28" s="19">
        <f t="shared" si="17"/>
        <v>0</v>
      </c>
      <c r="AF28" s="19">
        <f t="shared" si="17"/>
        <v>0</v>
      </c>
      <c r="AG28" s="19">
        <f t="shared" si="17"/>
        <v>0</v>
      </c>
      <c r="AH28" s="19">
        <f t="shared" si="17"/>
        <v>0</v>
      </c>
      <c r="AI28" s="19">
        <f t="shared" si="17"/>
        <v>0</v>
      </c>
      <c r="AJ28" s="19">
        <f t="shared" si="17"/>
        <v>0</v>
      </c>
      <c r="AK28" s="19">
        <f t="shared" si="17"/>
        <v>0</v>
      </c>
      <c r="AL28" s="14"/>
    </row>
    <row r="29" spans="2:38" x14ac:dyDescent="0.25">
      <c r="B29" s="20"/>
      <c r="C29" s="20"/>
      <c r="D29" s="86"/>
      <c r="E29" s="20"/>
      <c r="F29" s="20"/>
      <c r="G29" s="10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2"/>
    </row>
    <row r="30" spans="2:38" ht="34.5" customHeight="1" x14ac:dyDescent="0.25">
      <c r="B30" s="130" t="s">
        <v>36</v>
      </c>
      <c r="C30" s="12" t="s">
        <v>26</v>
      </c>
      <c r="D30" s="157">
        <f>+((D6*(C24+D37))+(D7*(C25+D38))+(D8*(C26+D38))+(D9*(C27+D39)))/1000</f>
        <v>177.14099999999999</v>
      </c>
      <c r="E30" s="156">
        <f>(12*7*52*RESUMEN!C25)</f>
        <v>1586544.9600000002</v>
      </c>
      <c r="F30" s="88">
        <v>5.5E-2</v>
      </c>
      <c r="G30" s="99">
        <f>SUM(H30:AK30)</f>
        <v>21477081523.006668</v>
      </c>
      <c r="H30" s="89">
        <f>$D30*$E30*(1+$F30)^H$5</f>
        <v>296499479.60112482</v>
      </c>
      <c r="I30" s="89">
        <f t="shared" ref="I30:AK30" si="18">$D30*$E30*(1+$F30)^I$5</f>
        <v>312806950.97918665</v>
      </c>
      <c r="J30" s="89">
        <f t="shared" si="18"/>
        <v>330011333.28304189</v>
      </c>
      <c r="K30" s="89">
        <f t="shared" si="18"/>
        <v>348161956.61360919</v>
      </c>
      <c r="L30" s="89">
        <f t="shared" si="18"/>
        <v>367310864.22735769</v>
      </c>
      <c r="M30" s="89">
        <f t="shared" si="18"/>
        <v>387512961.75986236</v>
      </c>
      <c r="N30" s="89">
        <f t="shared" si="18"/>
        <v>408826174.65665472</v>
      </c>
      <c r="O30" s="89">
        <f t="shared" si="18"/>
        <v>431311614.26277077</v>
      </c>
      <c r="P30" s="89">
        <f t="shared" si="18"/>
        <v>455033753.04722315</v>
      </c>
      <c r="Q30" s="89">
        <f t="shared" si="18"/>
        <v>480060609.46482038</v>
      </c>
      <c r="R30" s="89">
        <f t="shared" si="18"/>
        <v>506463942.98538548</v>
      </c>
      <c r="S30" s="89">
        <f t="shared" si="18"/>
        <v>534319459.84958166</v>
      </c>
      <c r="T30" s="89">
        <f t="shared" si="18"/>
        <v>563707030.14130867</v>
      </c>
      <c r="U30" s="89">
        <f t="shared" si="18"/>
        <v>594710916.79908061</v>
      </c>
      <c r="V30" s="89">
        <f t="shared" si="18"/>
        <v>627420017.22302997</v>
      </c>
      <c r="W30" s="89">
        <f t="shared" si="18"/>
        <v>661928118.17029667</v>
      </c>
      <c r="X30" s="89">
        <f t="shared" si="18"/>
        <v>698334164.66966283</v>
      </c>
      <c r="Y30" s="89">
        <f t="shared" si="18"/>
        <v>736742543.72649431</v>
      </c>
      <c r="Z30" s="89">
        <f t="shared" si="18"/>
        <v>777263383.63145149</v>
      </c>
      <c r="AA30" s="89">
        <f t="shared" si="18"/>
        <v>820012869.73118138</v>
      </c>
      <c r="AB30" s="89">
        <f t="shared" si="18"/>
        <v>865113577.56639624</v>
      </c>
      <c r="AC30" s="89">
        <f t="shared" si="18"/>
        <v>912694824.33254802</v>
      </c>
      <c r="AD30" s="89">
        <f t="shared" si="18"/>
        <v>962893039.67083812</v>
      </c>
      <c r="AE30" s="89">
        <f t="shared" si="18"/>
        <v>1015852156.8527342</v>
      </c>
      <c r="AF30" s="89">
        <f t="shared" si="18"/>
        <v>1071724025.4796345</v>
      </c>
      <c r="AG30" s="89">
        <f t="shared" si="18"/>
        <v>1130668846.8810146</v>
      </c>
      <c r="AH30" s="89">
        <f t="shared" si="18"/>
        <v>1192855633.45947</v>
      </c>
      <c r="AI30" s="89">
        <f t="shared" si="18"/>
        <v>1258462693.299741</v>
      </c>
      <c r="AJ30" s="89">
        <f t="shared" si="18"/>
        <v>1327678141.4312265</v>
      </c>
      <c r="AK30" s="89">
        <f t="shared" si="18"/>
        <v>1400700439.209944</v>
      </c>
      <c r="AL30" s="14">
        <f>COUNTIF(H30:AK30,"RS")</f>
        <v>0</v>
      </c>
    </row>
    <row r="31" spans="2:38" x14ac:dyDescent="0.25">
      <c r="B31" s="16" t="s">
        <v>27</v>
      </c>
      <c r="C31" s="17"/>
      <c r="D31" s="83"/>
      <c r="E31" s="18"/>
      <c r="F31" s="18"/>
      <c r="G31" s="100">
        <f>SUM(G30:G30)</f>
        <v>21477081523.006668</v>
      </c>
      <c r="H31" s="19">
        <f t="shared" ref="H31:AK31" si="19">SUM(H30:H30)</f>
        <v>296499479.60112482</v>
      </c>
      <c r="I31" s="19">
        <f t="shared" si="19"/>
        <v>312806950.97918665</v>
      </c>
      <c r="J31" s="19">
        <f t="shared" si="19"/>
        <v>330011333.28304189</v>
      </c>
      <c r="K31" s="19">
        <f t="shared" si="19"/>
        <v>348161956.61360919</v>
      </c>
      <c r="L31" s="19">
        <f t="shared" si="19"/>
        <v>367310864.22735769</v>
      </c>
      <c r="M31" s="19">
        <f t="shared" si="19"/>
        <v>387512961.75986236</v>
      </c>
      <c r="N31" s="19">
        <f t="shared" si="19"/>
        <v>408826174.65665472</v>
      </c>
      <c r="O31" s="19">
        <f t="shared" si="19"/>
        <v>431311614.26277077</v>
      </c>
      <c r="P31" s="19">
        <f t="shared" si="19"/>
        <v>455033753.04722315</v>
      </c>
      <c r="Q31" s="19">
        <f t="shared" si="19"/>
        <v>480060609.46482038</v>
      </c>
      <c r="R31" s="19">
        <f t="shared" si="19"/>
        <v>506463942.98538548</v>
      </c>
      <c r="S31" s="19">
        <f t="shared" si="19"/>
        <v>534319459.84958166</v>
      </c>
      <c r="T31" s="19">
        <f t="shared" si="19"/>
        <v>563707030.14130867</v>
      </c>
      <c r="U31" s="19">
        <f t="shared" si="19"/>
        <v>594710916.79908061</v>
      </c>
      <c r="V31" s="19">
        <f t="shared" si="19"/>
        <v>627420017.22302997</v>
      </c>
      <c r="W31" s="19">
        <f t="shared" si="19"/>
        <v>661928118.17029667</v>
      </c>
      <c r="X31" s="19">
        <f t="shared" si="19"/>
        <v>698334164.66966283</v>
      </c>
      <c r="Y31" s="19">
        <f t="shared" si="19"/>
        <v>736742543.72649431</v>
      </c>
      <c r="Z31" s="19">
        <f t="shared" si="19"/>
        <v>777263383.63145149</v>
      </c>
      <c r="AA31" s="19">
        <f t="shared" si="19"/>
        <v>820012869.73118138</v>
      </c>
      <c r="AB31" s="19">
        <f t="shared" si="19"/>
        <v>865113577.56639624</v>
      </c>
      <c r="AC31" s="19">
        <f t="shared" si="19"/>
        <v>912694824.33254802</v>
      </c>
      <c r="AD31" s="19">
        <f t="shared" si="19"/>
        <v>962893039.67083812</v>
      </c>
      <c r="AE31" s="19">
        <f t="shared" si="19"/>
        <v>1015852156.8527342</v>
      </c>
      <c r="AF31" s="19">
        <f t="shared" si="19"/>
        <v>1071724025.4796345</v>
      </c>
      <c r="AG31" s="19">
        <f t="shared" si="19"/>
        <v>1130668846.8810146</v>
      </c>
      <c r="AH31" s="19">
        <f t="shared" si="19"/>
        <v>1192855633.45947</v>
      </c>
      <c r="AI31" s="19">
        <f t="shared" si="19"/>
        <v>1258462693.299741</v>
      </c>
      <c r="AJ31" s="19">
        <f t="shared" si="19"/>
        <v>1327678141.4312265</v>
      </c>
      <c r="AK31" s="19">
        <f t="shared" si="19"/>
        <v>1400700439.209944</v>
      </c>
      <c r="AL31" s="14"/>
    </row>
    <row r="32" spans="2:38" x14ac:dyDescent="0.25">
      <c r="B32" s="113"/>
      <c r="C32" s="114"/>
      <c r="D32" s="115"/>
      <c r="E32" s="116"/>
      <c r="F32" s="116"/>
      <c r="G32" s="117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9"/>
    </row>
    <row r="33" spans="2:37" s="90" customFormat="1" x14ac:dyDescent="0.25">
      <c r="B33" s="222" t="s">
        <v>68</v>
      </c>
      <c r="C33" s="222"/>
      <c r="D33" s="222"/>
      <c r="E33" s="222"/>
      <c r="F33" s="222"/>
      <c r="G33" s="222"/>
      <c r="H33" s="159">
        <f>IF(H5&lt;=RESUMEN!$C$24,+H10+H16+H22+H31+H28,)</f>
        <v>297816431.60112482</v>
      </c>
      <c r="I33" s="159">
        <f>IF(I5&lt;=RESUMEN!$C$24,+I10+I16+I22+I31+I28,)</f>
        <v>360028849.85918665</v>
      </c>
      <c r="J33" s="159">
        <f>IF(J5&lt;=RESUMEN!$C$24,+J10+J16+J22+J31+J28,)</f>
        <v>331435748.56624192</v>
      </c>
      <c r="K33" s="159">
        <f>IF(K5&lt;=RESUMEN!$C$24,+K10+K16+K22+K31+K28,)</f>
        <v>399237162.44221723</v>
      </c>
      <c r="L33" s="159">
        <f>IF(L5&lt;=RESUMEN!$C$24,+L10+L16+L22+L31+L28,)</f>
        <v>405048152.29696923</v>
      </c>
      <c r="M33" s="159">
        <f>IF(M5&lt;=RESUMEN!$C$24,+M10+M16+M22+M31+M28,)</f>
        <v>442755904.38408482</v>
      </c>
      <c r="N33" s="159">
        <f>IF(N5&lt;=RESUMEN!$C$24,+N10+N16+N22+N31+N28,)</f>
        <v>410492539.06870109</v>
      </c>
      <c r="O33" s="159">
        <f>IF(O5&lt;=RESUMEN!$C$24,+O10+O16+O22+O31+O28,)</f>
        <v>491062381.00512975</v>
      </c>
      <c r="P33" s="159">
        <f>IF(P5&lt;=RESUMEN!$C$24,+P10+P16+P22+P31+P28,)</f>
        <v>456836092.7952925</v>
      </c>
      <c r="Q33" s="159">
        <f>IF(Q5&lt;=RESUMEN!$C$24,+Q10+Q16+Q22+Q31+Q28,)</f>
        <v>588725786.49396157</v>
      </c>
      <c r="R33" s="159">
        <f>IF(R5&lt;=RESUMEN!$C$24,+R10+R16+R22+R31+R28,)</f>
        <v>508413353.65689725</v>
      </c>
      <c r="S33" s="159">
        <f>IF(S5&lt;=RESUMEN!$C$24,+S10+S16+S22+S31+S28,)</f>
        <v>604219405.78969359</v>
      </c>
      <c r="T33" s="159">
        <f>IF(T5&lt;=RESUMEN!$C$24,+T10+T16+T22+T31+T28,)</f>
        <v>565815512.72361577</v>
      </c>
      <c r="U33" s="159">
        <f>IF(U5&lt;=RESUMEN!$C$24,+U10+U16+U22+U31+U28,)</f>
        <v>670314698.32790577</v>
      </c>
      <c r="V33" s="159">
        <f>IF(V5&lt;=RESUMEN!$C$24,+V10+V16+V22+V31+V28,)</f>
        <v>683280422.21638966</v>
      </c>
      <c r="W33" s="159">
        <f>IF(W5&lt;=RESUMEN!$C$24,+W10+W16+W22+W31+W28,)</f>
        <v>918401059.09145856</v>
      </c>
      <c r="X33" s="159">
        <f>IF(X5&lt;=RESUMEN!$C$24,+X10+X16+X22+X31+X28,)</f>
        <v>700800791.06718576</v>
      </c>
      <c r="Y33" s="159">
        <f>IF(Y5&lt;=RESUMEN!$C$24,+Y10+Y16+Y22+Y31+Y28,)</f>
        <v>825188274.71636033</v>
      </c>
      <c r="Z33" s="159">
        <f>IF(Z5&lt;=RESUMEN!$C$24,+Z10+Z16+Z22+Z31+Z28,)</f>
        <v>779931286.74301231</v>
      </c>
      <c r="AA33" s="159">
        <f>IF(AA5&lt;=RESUMEN!$C$24,+AA10+AA16+AA22+AA31+AA28,)</f>
        <v>980863876.99820781</v>
      </c>
      <c r="AB33" s="159">
        <f>IF(AB5&lt;=RESUMEN!$C$24,+AB10+AB16+AB22+AB31+AB28,)</f>
        <v>867999181.57186043</v>
      </c>
      <c r="AC33" s="159">
        <f>IF(AC5&lt;=RESUMEN!$C$24,+AC10+AC16+AC22+AC31+AC28,)</f>
        <v>1016163819.8265001</v>
      </c>
      <c r="AD33" s="159">
        <f>IF(AD5&lt;=RESUMEN!$C$24,+AD10+AD16+AD22+AD31+AD28,)</f>
        <v>966014108.96314812</v>
      </c>
      <c r="AE33" s="159">
        <f>IF(AE5&lt;=RESUMEN!$C$24,+AE10+AE16+AE22+AE31+AE28,)</f>
        <v>1127764222.3789928</v>
      </c>
      <c r="AF33" s="159">
        <f>IF(AF5&lt;=RESUMEN!$C$24,+AF10+AF16+AF22+AF31+AF28,)</f>
        <v>1154411070.7242794</v>
      </c>
      <c r="AG33" s="159">
        <f>IF(AG5&lt;=RESUMEN!$C$24,+AG10+AG16+AG22+AG31+AG28,)</f>
        <v>1251712936.9542158</v>
      </c>
      <c r="AH33" s="159">
        <f>IF(AH5&lt;=RESUMEN!$C$24,+AH10+AH16+AH22+AH31+AH28,)</f>
        <v>1196506843.0874321</v>
      </c>
      <c r="AI33" s="159">
        <f>IF(AI5&lt;=RESUMEN!$C$24,+AI10+AI16+AI22+AI31+AI28,)</f>
        <v>1389383981.1229155</v>
      </c>
      <c r="AJ33" s="159">
        <f>IF(AJ5&lt;=RESUMEN!$C$24,+AJ10+AJ16+AJ22+AJ31+AJ28,)</f>
        <v>1331627289.7648301</v>
      </c>
      <c r="AK33" s="159">
        <f>IF(AK5&lt;=RESUMEN!$C$24,+AK10+AK16+AK22+AK31+AK28,)</f>
        <v>1638799223.4403188</v>
      </c>
    </row>
    <row r="34" spans="2:37" ht="15.75" thickBot="1" x14ac:dyDescent="0.3">
      <c r="B34" s="51" t="s">
        <v>112</v>
      </c>
      <c r="C34" s="51"/>
      <c r="D34" s="87"/>
      <c r="E34" s="51"/>
      <c r="F34" s="52"/>
      <c r="G34" s="102"/>
      <c r="H34" s="154">
        <f>+G10+G16+G22+G28+G31</f>
        <v>23361050408.678123</v>
      </c>
      <c r="I34" s="92"/>
      <c r="J34" s="92"/>
      <c r="K34" s="92"/>
    </row>
    <row r="35" spans="2:37" ht="15.75" thickTop="1" x14ac:dyDescent="0.25">
      <c r="I35" s="93"/>
      <c r="J35" s="93"/>
      <c r="K35" s="93"/>
    </row>
    <row r="36" spans="2:37" x14ac:dyDescent="0.25">
      <c r="H36" s="9">
        <f>H33/'CAOM LED '!H41</f>
        <v>2.3312173344927833</v>
      </c>
      <c r="I36" s="9">
        <f>I33/'CAOM LED '!I41</f>
        <v>2.6716668003432047</v>
      </c>
      <c r="J36" s="9">
        <f>J33/'CAOM LED '!J41</f>
        <v>2.3316015269661752</v>
      </c>
      <c r="K36" s="9">
        <f>K33/'CAOM LED '!K41</f>
        <v>2.6625333334190215</v>
      </c>
      <c r="L36" s="9">
        <f>L33/'CAOM LED '!L41</f>
        <v>2.5608196506698584</v>
      </c>
      <c r="M36" s="9">
        <f>M33/'CAOM LED '!M41</f>
        <v>2.6536527398172503</v>
      </c>
      <c r="N36" s="9">
        <f>N33/'CAOM LED '!N41</f>
        <v>2.3323382986733794</v>
      </c>
      <c r="O36" s="9">
        <f>O33/'CAOM LED '!O41</f>
        <v>2.6450181543516762</v>
      </c>
      <c r="P36" s="9">
        <f>P33/'CAOM LED '!P41</f>
        <v>2.3326914474619262</v>
      </c>
      <c r="Q36" s="9">
        <f>Q33/'CAOM LED '!Q41</f>
        <v>2.8497977269978976</v>
      </c>
      <c r="R36" s="9">
        <f>R33/'CAOM LED '!R41</f>
        <v>2.3330348055735741</v>
      </c>
      <c r="S36" s="9">
        <f>S33/'CAOM LED '!S41</f>
        <v>2.6284604372127527</v>
      </c>
      <c r="T36" s="9">
        <f>T33/'CAOM LED '!T41</f>
        <v>2.3333686395438904</v>
      </c>
      <c r="U36" s="9">
        <f>U33/'CAOM LED '!U41</f>
        <v>2.6205244526416203</v>
      </c>
      <c r="V36" s="9">
        <f>V33/'CAOM LED '!V41</f>
        <v>2.5322621618996024</v>
      </c>
      <c r="W36" s="9">
        <f>W33/'CAOM LED '!W41</f>
        <v>0.6766230265479245</v>
      </c>
      <c r="X36" s="9">
        <f>X33/'CAOM LED '!X41</f>
        <v>2.3340087664442284</v>
      </c>
      <c r="Y36" s="9">
        <f>Y33/'CAOM LED '!Y41</f>
        <v>2.6053073532724658</v>
      </c>
      <c r="Z36" s="9">
        <f>Z33/'CAOM LED '!Z41</f>
        <v>2.3343155581877233</v>
      </c>
      <c r="AA36" s="9">
        <f>AA33/'CAOM LED '!AA41</f>
        <v>2.7829702676999122</v>
      </c>
      <c r="AB36" s="9">
        <f>AB33/'CAOM LED '!AB41</f>
        <v>2.334613823743334</v>
      </c>
      <c r="AC36" s="9">
        <f>AC33/'CAOM LED '!AC41</f>
        <v>2.5909241186710981</v>
      </c>
      <c r="AD36" s="9">
        <f>AD33/'CAOM LED '!AD41</f>
        <v>2.3349037963684984</v>
      </c>
      <c r="AE36" s="9">
        <f>AE33/'CAOM LED '!AE41</f>
        <v>2.5840310447616894</v>
      </c>
      <c r="AF36" s="9">
        <f>AF33/'CAOM LED '!AF41</f>
        <v>2.5074549293324182</v>
      </c>
      <c r="AG36" s="9">
        <f>AG33/'CAOM LED '!AG41</f>
        <v>2.5773297485850337</v>
      </c>
      <c r="AH36" s="9">
        <f>AH33/'CAOM LED '!AH41</f>
        <v>2.3354597651247166</v>
      </c>
      <c r="AI36" s="9">
        <f>AI33/'CAOM LED '!AI41</f>
        <v>2.5708149719583919</v>
      </c>
      <c r="AJ36" s="9">
        <f>AJ33/'CAOM LED '!AJ41</f>
        <v>2.3357261974916494</v>
      </c>
      <c r="AK36" s="9">
        <f>AK33/'CAOM LED '!AK41</f>
        <v>2.7249284092830273</v>
      </c>
    </row>
    <row r="37" spans="2:37" x14ac:dyDescent="0.25">
      <c r="B37" s="140" t="s">
        <v>103</v>
      </c>
      <c r="D37" s="85">
        <v>19</v>
      </c>
      <c r="K37" s="38"/>
    </row>
    <row r="38" spans="2:37" x14ac:dyDescent="0.25">
      <c r="B38" s="140" t="s">
        <v>104</v>
      </c>
      <c r="D38" s="85">
        <v>29</v>
      </c>
    </row>
    <row r="39" spans="2:37" x14ac:dyDescent="0.25">
      <c r="B39" s="140" t="s">
        <v>105</v>
      </c>
      <c r="D39" s="85">
        <v>40</v>
      </c>
    </row>
  </sheetData>
  <mergeCells count="8">
    <mergeCell ref="B24:B27"/>
    <mergeCell ref="B33:G33"/>
    <mergeCell ref="D4:G4"/>
    <mergeCell ref="H4:AK4"/>
    <mergeCell ref="B5:C5"/>
    <mergeCell ref="B6:B9"/>
    <mergeCell ref="B12:B15"/>
    <mergeCell ref="B18:B21"/>
  </mergeCells>
  <printOptions horizontalCentered="1" verticalCentered="1"/>
  <pageMargins left="0.19685039370078741" right="0.19685039370078741" top="0.39370078740157483" bottom="0.39370078740157483" header="0.31496062992125984" footer="0.31496062992125984"/>
  <pageSetup scale="60" orientation="landscape" r:id="rId1"/>
  <headerFooter>
    <oddFooter>&amp;R&amp;G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4" tint="-0.249977111117893"/>
  </sheetPr>
  <dimension ref="B1:AL49"/>
  <sheetViews>
    <sheetView showGridLines="0" workbookViewId="0">
      <pane xSplit="7" ySplit="5" topLeftCell="U6" activePane="bottomRight" state="frozen"/>
      <selection pane="topRight" activeCell="H1" sqref="H1"/>
      <selection pane="bottomLeft" activeCell="A7" sqref="A7"/>
      <selection pane="bottomRight" activeCell="W20" sqref="W20"/>
    </sheetView>
  </sheetViews>
  <sheetFormatPr baseColWidth="10" defaultRowHeight="15" x14ac:dyDescent="0.25"/>
  <cols>
    <col min="1" max="1" width="1.140625" style="9" customWidth="1"/>
    <col min="2" max="2" width="24.28515625" style="9" customWidth="1"/>
    <col min="3" max="3" width="15.5703125" style="9" customWidth="1"/>
    <col min="4" max="4" width="8.140625" style="47" bestFit="1" customWidth="1"/>
    <col min="5" max="5" width="9" style="9" customWidth="1"/>
    <col min="6" max="6" width="8.28515625" style="9" bestFit="1" customWidth="1"/>
    <col min="7" max="7" width="16.85546875" style="103" bestFit="1" customWidth="1"/>
    <col min="8" max="8" width="17.85546875" style="9" customWidth="1"/>
    <col min="9" max="9" width="18.42578125" style="9" customWidth="1"/>
    <col min="10" max="10" width="17.5703125" style="9" customWidth="1"/>
    <col min="11" max="11" width="16" style="9" customWidth="1"/>
    <col min="12" max="12" width="14" style="9" bestFit="1" customWidth="1"/>
    <col min="13" max="13" width="14.140625" style="9" customWidth="1"/>
    <col min="14" max="17" width="14.28515625" style="9" bestFit="1" customWidth="1"/>
    <col min="18" max="18" width="15.7109375" style="9" customWidth="1"/>
    <col min="19" max="22" width="14.28515625" style="9" bestFit="1" customWidth="1"/>
    <col min="23" max="23" width="15.5703125" style="9" bestFit="1" customWidth="1"/>
    <col min="24" max="28" width="14.28515625" style="9" bestFit="1" customWidth="1"/>
    <col min="29" max="29" width="14.5703125" style="9" customWidth="1"/>
    <col min="30" max="30" width="14.28515625" style="9" bestFit="1" customWidth="1"/>
    <col min="31" max="31" width="16.5703125" style="9" customWidth="1"/>
    <col min="32" max="37" width="14.28515625" style="9" bestFit="1" customWidth="1"/>
    <col min="38" max="38" width="12.5703125" style="9" bestFit="1" customWidth="1"/>
    <col min="39" max="16384" width="11.42578125" style="9"/>
  </cols>
  <sheetData>
    <row r="1" spans="2:38" x14ac:dyDescent="0.25">
      <c r="B1" s="29" t="s">
        <v>122</v>
      </c>
    </row>
    <row r="4" spans="2:38" ht="21" x14ac:dyDescent="0.35">
      <c r="B4" s="37" t="s">
        <v>35</v>
      </c>
      <c r="D4" s="223"/>
      <c r="E4" s="223"/>
      <c r="F4" s="223"/>
      <c r="G4" s="223"/>
      <c r="H4" s="224" t="s">
        <v>16</v>
      </c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  <c r="AF4" s="224"/>
      <c r="AG4" s="224"/>
      <c r="AH4" s="224"/>
      <c r="AI4" s="224"/>
      <c r="AJ4" s="224"/>
      <c r="AK4" s="224"/>
      <c r="AL4" s="11" t="s">
        <v>17</v>
      </c>
    </row>
    <row r="5" spans="2:38" ht="25.5" x14ac:dyDescent="0.25">
      <c r="B5" s="225" t="s">
        <v>18</v>
      </c>
      <c r="C5" s="226"/>
      <c r="D5" s="26" t="s">
        <v>19</v>
      </c>
      <c r="E5" s="27" t="s">
        <v>20</v>
      </c>
      <c r="F5" s="27" t="s">
        <v>21</v>
      </c>
      <c r="G5" s="96" t="s">
        <v>22</v>
      </c>
      <c r="H5" s="10">
        <v>1</v>
      </c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>
        <v>9</v>
      </c>
      <c r="Q5" s="10">
        <v>10</v>
      </c>
      <c r="R5" s="10">
        <v>11</v>
      </c>
      <c r="S5" s="10">
        <v>12</v>
      </c>
      <c r="T5" s="10">
        <v>13</v>
      </c>
      <c r="U5" s="10">
        <v>14</v>
      </c>
      <c r="V5" s="10">
        <v>15</v>
      </c>
      <c r="W5" s="10">
        <v>16</v>
      </c>
      <c r="X5" s="10">
        <v>17</v>
      </c>
      <c r="Y5" s="10">
        <v>18</v>
      </c>
      <c r="Z5" s="10">
        <v>19</v>
      </c>
      <c r="AA5" s="10">
        <v>20</v>
      </c>
      <c r="AB5" s="10">
        <v>21</v>
      </c>
      <c r="AC5" s="10">
        <v>22</v>
      </c>
      <c r="AD5" s="10">
        <v>23</v>
      </c>
      <c r="AE5" s="10">
        <v>24</v>
      </c>
      <c r="AF5" s="10">
        <v>25</v>
      </c>
      <c r="AG5" s="10">
        <v>26</v>
      </c>
      <c r="AH5" s="10">
        <v>27</v>
      </c>
      <c r="AI5" s="10">
        <v>28</v>
      </c>
      <c r="AJ5" s="10">
        <v>29</v>
      </c>
      <c r="AK5" s="10">
        <v>30</v>
      </c>
      <c r="AL5" s="11">
        <f>+D4</f>
        <v>0</v>
      </c>
    </row>
    <row r="6" spans="2:38" ht="15.75" x14ac:dyDescent="0.25">
      <c r="B6" s="227" t="s">
        <v>102</v>
      </c>
      <c r="C6" s="12" t="str">
        <f>'CI Na_LED_CMH'!B7</f>
        <v>DELTA LED 125 W</v>
      </c>
      <c r="D6" s="48">
        <f>'CI Na_LED_CMH'!C7</f>
        <v>107</v>
      </c>
      <c r="E6" s="174">
        <v>575000</v>
      </c>
      <c r="F6" s="82">
        <v>0.04</v>
      </c>
      <c r="G6" s="104">
        <f>SUM(H6:AK6)</f>
        <v>115235171.14336559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>
        <f>$D6*$E6*(1+$F6)^W$5</f>
        <v>115235171.14336559</v>
      </c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14">
        <f>COUNTIF(H6:AK6,"RS")</f>
        <v>0</v>
      </c>
    </row>
    <row r="7" spans="2:38" ht="15.75" x14ac:dyDescent="0.25">
      <c r="B7" s="228"/>
      <c r="C7" s="12" t="str">
        <f>'CI Na_LED_CMH'!B8</f>
        <v>DELTA LED 171 W</v>
      </c>
      <c r="D7" s="48">
        <f>'CI Na_LED_CMH'!C8</f>
        <v>234</v>
      </c>
      <c r="E7" s="174">
        <v>700000</v>
      </c>
      <c r="F7" s="82">
        <v>0.04</v>
      </c>
      <c r="G7" s="104">
        <f t="shared" ref="G7:G11" si="0">SUM(H7:AK7)</f>
        <v>306794328.05011433</v>
      </c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>
        <f t="shared" ref="W7:W11" si="1">$D7*$E7*(1+$F7)^W$5</f>
        <v>306794328.05011433</v>
      </c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14"/>
    </row>
    <row r="8" spans="2:38" ht="15.75" x14ac:dyDescent="0.25">
      <c r="B8" s="228"/>
      <c r="C8" s="12" t="str">
        <f>'CI Na_LED_CMH'!B9</f>
        <v>DELTA LED 197 W</v>
      </c>
      <c r="D8" s="48">
        <f>'CI Na_LED_CMH'!C9</f>
        <v>55</v>
      </c>
      <c r="E8" s="174">
        <v>800000</v>
      </c>
      <c r="F8" s="82">
        <v>0.04</v>
      </c>
      <c r="G8" s="104">
        <f t="shared" si="0"/>
        <v>82411174.81199652</v>
      </c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>
        <f t="shared" si="1"/>
        <v>82411174.81199652</v>
      </c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14"/>
    </row>
    <row r="9" spans="2:38" ht="15.75" x14ac:dyDescent="0.25">
      <c r="B9" s="228"/>
      <c r="C9" s="12" t="str">
        <f>'CI Na_LED_CMH'!B10</f>
        <v>COSMO LED 120W</v>
      </c>
      <c r="D9" s="48">
        <f>'CI Na_LED_CMH'!C10</f>
        <v>28</v>
      </c>
      <c r="E9" s="174">
        <v>550000</v>
      </c>
      <c r="F9" s="82">
        <v>0.04</v>
      </c>
      <c r="G9" s="104">
        <f t="shared" si="0"/>
        <v>28843911.184198782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>
        <f t="shared" si="1"/>
        <v>28843911.184198782</v>
      </c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14"/>
    </row>
    <row r="10" spans="2:38" ht="15.75" x14ac:dyDescent="0.25">
      <c r="B10" s="228"/>
      <c r="C10" s="12" t="str">
        <f>'CI Na_LED_CMH'!B11</f>
        <v>COSMO LED 200W</v>
      </c>
      <c r="D10" s="48">
        <f>'CI Na_LED_CMH'!C11</f>
        <v>56</v>
      </c>
      <c r="E10" s="174">
        <v>800000</v>
      </c>
      <c r="F10" s="82">
        <v>0.04</v>
      </c>
      <c r="G10" s="104">
        <f t="shared" si="0"/>
        <v>83909559.808578283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>
        <f t="shared" si="1"/>
        <v>83909559.808578283</v>
      </c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14"/>
    </row>
    <row r="11" spans="2:38" ht="15.75" x14ac:dyDescent="0.25">
      <c r="B11" s="229"/>
      <c r="C11" s="12" t="str">
        <f>'CI Na_LED_CMH'!B12</f>
        <v>COSMO LED 246W</v>
      </c>
      <c r="D11" s="48">
        <f>'CI Na_LED_CMH'!C12</f>
        <v>120</v>
      </c>
      <c r="E11" s="174">
        <v>900000</v>
      </c>
      <c r="F11" s="82">
        <v>0.04</v>
      </c>
      <c r="G11" s="104">
        <f t="shared" si="0"/>
        <v>202281974.53853691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>
        <f t="shared" si="1"/>
        <v>202281974.53853691</v>
      </c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14">
        <f>COUNTIF(H11:AK11,"RS")</f>
        <v>0</v>
      </c>
    </row>
    <row r="12" spans="2:38" x14ac:dyDescent="0.25">
      <c r="B12" s="16" t="s">
        <v>64</v>
      </c>
      <c r="C12" s="17"/>
      <c r="D12" s="18"/>
      <c r="E12" s="18"/>
      <c r="F12" s="108"/>
      <c r="G12" s="105">
        <f>SUM(G6:G11)</f>
        <v>819476119.53679037</v>
      </c>
      <c r="H12" s="19">
        <f t="shared" ref="H12:AK12" si="2">SUM(H6:H11)</f>
        <v>0</v>
      </c>
      <c r="I12" s="19">
        <f t="shared" si="2"/>
        <v>0</v>
      </c>
      <c r="J12" s="19">
        <f t="shared" si="2"/>
        <v>0</v>
      </c>
      <c r="K12" s="19">
        <f t="shared" si="2"/>
        <v>0</v>
      </c>
      <c r="L12" s="19">
        <f t="shared" si="2"/>
        <v>0</v>
      </c>
      <c r="M12" s="19">
        <f t="shared" si="2"/>
        <v>0</v>
      </c>
      <c r="N12" s="19">
        <f t="shared" si="2"/>
        <v>0</v>
      </c>
      <c r="O12" s="19">
        <f t="shared" si="2"/>
        <v>0</v>
      </c>
      <c r="P12" s="19">
        <f t="shared" si="2"/>
        <v>0</v>
      </c>
      <c r="Q12" s="19">
        <f t="shared" si="2"/>
        <v>0</v>
      </c>
      <c r="R12" s="19">
        <f t="shared" ref="R12" si="3">SUM(R6:R11)</f>
        <v>0</v>
      </c>
      <c r="S12" s="19"/>
      <c r="T12" s="19">
        <f t="shared" si="2"/>
        <v>0</v>
      </c>
      <c r="U12" s="19">
        <f t="shared" si="2"/>
        <v>0</v>
      </c>
      <c r="V12" s="19">
        <f t="shared" si="2"/>
        <v>0</v>
      </c>
      <c r="W12" s="19">
        <f>SUM(W6:W11)</f>
        <v>819476119.53679037</v>
      </c>
      <c r="X12" s="19">
        <f t="shared" si="2"/>
        <v>0</v>
      </c>
      <c r="Y12" s="19">
        <f t="shared" si="2"/>
        <v>0</v>
      </c>
      <c r="Z12" s="19">
        <f t="shared" si="2"/>
        <v>0</v>
      </c>
      <c r="AA12" s="19">
        <f t="shared" si="2"/>
        <v>0</v>
      </c>
      <c r="AB12" s="19">
        <f t="shared" si="2"/>
        <v>0</v>
      </c>
      <c r="AC12" s="19">
        <f t="shared" ref="AC12" si="4">SUM(AC6:AC11)</f>
        <v>0</v>
      </c>
      <c r="AD12" s="19">
        <f t="shared" si="2"/>
        <v>0</v>
      </c>
      <c r="AE12" s="19"/>
      <c r="AF12" s="19">
        <f t="shared" si="2"/>
        <v>0</v>
      </c>
      <c r="AG12" s="19">
        <f t="shared" si="2"/>
        <v>0</v>
      </c>
      <c r="AH12" s="19">
        <f t="shared" si="2"/>
        <v>0</v>
      </c>
      <c r="AI12" s="19">
        <f t="shared" si="2"/>
        <v>0</v>
      </c>
      <c r="AJ12" s="19">
        <f t="shared" si="2"/>
        <v>0</v>
      </c>
      <c r="AK12" s="19">
        <f t="shared" si="2"/>
        <v>0</v>
      </c>
      <c r="AL12" s="14"/>
    </row>
    <row r="13" spans="2:38" x14ac:dyDescent="0.25">
      <c r="B13" s="20"/>
      <c r="C13" s="20"/>
      <c r="D13" s="49"/>
      <c r="E13" s="20"/>
      <c r="F13" s="109"/>
      <c r="G13" s="106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2"/>
    </row>
    <row r="14" spans="2:38" ht="15.75" x14ac:dyDescent="0.25">
      <c r="B14" s="227" t="s">
        <v>101</v>
      </c>
      <c r="C14" s="12" t="str">
        <f>C6</f>
        <v>DELTA LED 125 W</v>
      </c>
      <c r="D14" s="48">
        <f>'CI Na_LED_CMH'!C7</f>
        <v>107</v>
      </c>
      <c r="E14" s="174">
        <v>345000</v>
      </c>
      <c r="F14" s="82">
        <v>0.04</v>
      </c>
      <c r="G14" s="104">
        <f>SUM(H14:AK14)</f>
        <v>69141102.686019361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>
        <f>$D14*$E14*(1+$F14)^W$5</f>
        <v>69141102.686019361</v>
      </c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14">
        <f>COUNTIF(H14:AK14,"R")</f>
        <v>0</v>
      </c>
    </row>
    <row r="15" spans="2:38" ht="15.75" x14ac:dyDescent="0.25">
      <c r="B15" s="228"/>
      <c r="C15" s="12" t="str">
        <f>C11</f>
        <v>COSMO LED 246W</v>
      </c>
      <c r="D15" s="48">
        <f>'CI Na_LED_CMH'!C8</f>
        <v>234</v>
      </c>
      <c r="E15" s="174">
        <v>420000</v>
      </c>
      <c r="F15" s="82">
        <v>0.04</v>
      </c>
      <c r="G15" s="104">
        <f t="shared" ref="G15:G19" si="5">SUM(H15:AK15)</f>
        <v>184076596.83006859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>
        <f t="shared" ref="W15:W19" si="6">$D15*$E15*(1+$F15)^W$5</f>
        <v>184076596.83006859</v>
      </c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14">
        <f>COUNTIF(H15:AK15,"R")</f>
        <v>0</v>
      </c>
    </row>
    <row r="16" spans="2:38" ht="15.75" x14ac:dyDescent="0.25">
      <c r="B16" s="228"/>
      <c r="C16" s="12" t="str">
        <f>C8</f>
        <v>DELTA LED 197 W</v>
      </c>
      <c r="D16" s="48">
        <f>'CI Na_LED_CMH'!C9</f>
        <v>55</v>
      </c>
      <c r="E16" s="174">
        <v>480000</v>
      </c>
      <c r="F16" s="82">
        <v>0.04</v>
      </c>
      <c r="G16" s="104">
        <f t="shared" si="5"/>
        <v>49446704.887197912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>
        <f t="shared" si="6"/>
        <v>49446704.887197912</v>
      </c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14"/>
    </row>
    <row r="17" spans="2:38" ht="15.75" x14ac:dyDescent="0.25">
      <c r="B17" s="228"/>
      <c r="C17" s="12" t="str">
        <f t="shared" ref="C17:C19" si="7">C9</f>
        <v>COSMO LED 120W</v>
      </c>
      <c r="D17" s="48">
        <f>'CI Na_LED_CMH'!C10</f>
        <v>28</v>
      </c>
      <c r="E17" s="174">
        <v>330000</v>
      </c>
      <c r="F17" s="82">
        <v>0.04</v>
      </c>
      <c r="G17" s="104">
        <f t="shared" si="5"/>
        <v>17306346.710519269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>
        <f t="shared" si="6"/>
        <v>17306346.710519269</v>
      </c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14"/>
    </row>
    <row r="18" spans="2:38" ht="15.75" x14ac:dyDescent="0.25">
      <c r="B18" s="228"/>
      <c r="C18" s="12" t="str">
        <f t="shared" si="7"/>
        <v>COSMO LED 200W</v>
      </c>
      <c r="D18" s="48">
        <f>'CI Na_LED_CMH'!C11</f>
        <v>56</v>
      </c>
      <c r="E18" s="174">
        <v>480000</v>
      </c>
      <c r="F18" s="82">
        <v>0.04</v>
      </c>
      <c r="G18" s="104">
        <f t="shared" si="5"/>
        <v>50345735.885146968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>
        <f t="shared" si="6"/>
        <v>50345735.885146968</v>
      </c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14"/>
    </row>
    <row r="19" spans="2:38" ht="15.75" x14ac:dyDescent="0.25">
      <c r="B19" s="229"/>
      <c r="C19" s="12" t="str">
        <f t="shared" si="7"/>
        <v>COSMO LED 246W</v>
      </c>
      <c r="D19" s="48">
        <f>'CI Na_LED_CMH'!C12</f>
        <v>120</v>
      </c>
      <c r="E19" s="174">
        <v>540000</v>
      </c>
      <c r="F19" s="82">
        <v>0.04</v>
      </c>
      <c r="G19" s="104">
        <f t="shared" si="5"/>
        <v>121369184.72312215</v>
      </c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>
        <f t="shared" si="6"/>
        <v>121369184.72312215</v>
      </c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14"/>
    </row>
    <row r="20" spans="2:38" x14ac:dyDescent="0.25">
      <c r="B20" s="23" t="s">
        <v>24</v>
      </c>
      <c r="C20" s="24"/>
      <c r="D20" s="25"/>
      <c r="E20" s="25"/>
      <c r="F20" s="110"/>
      <c r="G20" s="105">
        <f>SUM(G14:G19)</f>
        <v>491685671.72207427</v>
      </c>
      <c r="H20" s="19">
        <f t="shared" ref="H20:AJ20" si="8">SUM(H14:H15)</f>
        <v>0</v>
      </c>
      <c r="I20" s="19">
        <f t="shared" si="8"/>
        <v>0</v>
      </c>
      <c r="J20" s="19">
        <f t="shared" si="8"/>
        <v>0</v>
      </c>
      <c r="K20" s="19">
        <f t="shared" si="8"/>
        <v>0</v>
      </c>
      <c r="L20" s="19">
        <f t="shared" si="8"/>
        <v>0</v>
      </c>
      <c r="M20" s="19"/>
      <c r="N20" s="19">
        <f t="shared" si="8"/>
        <v>0</v>
      </c>
      <c r="O20" s="19">
        <f t="shared" si="8"/>
        <v>0</v>
      </c>
      <c r="P20" s="19">
        <f t="shared" si="8"/>
        <v>0</v>
      </c>
      <c r="Q20" s="19">
        <f t="shared" si="8"/>
        <v>0</v>
      </c>
      <c r="R20" s="19"/>
      <c r="S20" s="19">
        <f>SUM(S14:S19)</f>
        <v>0</v>
      </c>
      <c r="T20" s="19">
        <f t="shared" si="8"/>
        <v>0</v>
      </c>
      <c r="U20" s="19">
        <f t="shared" si="8"/>
        <v>0</v>
      </c>
      <c r="V20" s="19">
        <f t="shared" si="8"/>
        <v>0</v>
      </c>
      <c r="W20" s="19">
        <f t="shared" si="8"/>
        <v>253217699.51608795</v>
      </c>
      <c r="X20" s="19">
        <f t="shared" si="8"/>
        <v>0</v>
      </c>
      <c r="Y20" s="19"/>
      <c r="Z20" s="19">
        <f t="shared" si="8"/>
        <v>0</v>
      </c>
      <c r="AA20" s="19">
        <f t="shared" si="8"/>
        <v>0</v>
      </c>
      <c r="AB20" s="19"/>
      <c r="AC20" s="19">
        <f t="shared" si="8"/>
        <v>0</v>
      </c>
      <c r="AD20" s="19">
        <f t="shared" si="8"/>
        <v>0</v>
      </c>
      <c r="AE20" s="19">
        <f>SUM(AE14:AE19)</f>
        <v>0</v>
      </c>
      <c r="AF20" s="19">
        <f t="shared" si="8"/>
        <v>0</v>
      </c>
      <c r="AG20" s="19">
        <f t="shared" si="8"/>
        <v>0</v>
      </c>
      <c r="AH20" s="19">
        <f t="shared" si="8"/>
        <v>0</v>
      </c>
      <c r="AI20" s="19">
        <f t="shared" si="8"/>
        <v>0</v>
      </c>
      <c r="AJ20" s="19">
        <f t="shared" si="8"/>
        <v>0</v>
      </c>
      <c r="AK20" s="19"/>
      <c r="AL20" s="14"/>
    </row>
    <row r="21" spans="2:38" x14ac:dyDescent="0.25">
      <c r="B21" s="20"/>
      <c r="C21" s="20"/>
      <c r="D21" s="49"/>
      <c r="E21" s="20"/>
      <c r="F21" s="109"/>
      <c r="G21" s="106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2"/>
    </row>
    <row r="22" spans="2:38" ht="15.75" x14ac:dyDescent="0.25">
      <c r="B22" s="230" t="s">
        <v>25</v>
      </c>
      <c r="C22" s="12" t="str">
        <f>C6</f>
        <v>DELTA LED 125 W</v>
      </c>
      <c r="D22" s="48">
        <f>'CI Na_LED_CMH'!C7</f>
        <v>107</v>
      </c>
      <c r="E22" s="174">
        <v>2100</v>
      </c>
      <c r="F22" s="82">
        <v>0.04</v>
      </c>
      <c r="G22" s="104">
        <f>SUM(H22:AK22)</f>
        <v>13106376.933082893</v>
      </c>
      <c r="H22" s="28">
        <f>$D22*$E22*(1+$F22)^H$5</f>
        <v>233688</v>
      </c>
      <c r="I22" s="28">
        <f t="shared" ref="I22:AK27" si="9">$D22*$E22*(1+$F22)^I$5</f>
        <v>243035.52000000002</v>
      </c>
      <c r="J22" s="28">
        <f t="shared" si="9"/>
        <v>252756.94080000001</v>
      </c>
      <c r="K22" s="28">
        <f t="shared" si="9"/>
        <v>262867.21843200002</v>
      </c>
      <c r="L22" s="28">
        <f t="shared" si="9"/>
        <v>273381.90716928005</v>
      </c>
      <c r="M22" s="28">
        <f t="shared" si="9"/>
        <v>284317.18345605128</v>
      </c>
      <c r="N22" s="28">
        <f t="shared" si="9"/>
        <v>295689.8707942933</v>
      </c>
      <c r="O22" s="28">
        <f t="shared" si="9"/>
        <v>307517.4656260651</v>
      </c>
      <c r="P22" s="28">
        <f t="shared" si="9"/>
        <v>319818.16425110772</v>
      </c>
      <c r="Q22" s="28">
        <f t="shared" si="9"/>
        <v>332610.89082115202</v>
      </c>
      <c r="R22" s="28">
        <f t="shared" si="9"/>
        <v>345915.3264539981</v>
      </c>
      <c r="S22" s="28">
        <f t="shared" si="9"/>
        <v>359751.9395121581</v>
      </c>
      <c r="T22" s="28">
        <f t="shared" si="9"/>
        <v>374142.01709264441</v>
      </c>
      <c r="U22" s="28">
        <f t="shared" si="9"/>
        <v>389107.69777635019</v>
      </c>
      <c r="V22" s="28">
        <f t="shared" si="9"/>
        <v>404672.00568740419</v>
      </c>
      <c r="W22" s="28">
        <f t="shared" si="9"/>
        <v>420858.8859149004</v>
      </c>
      <c r="X22" s="28">
        <f t="shared" si="9"/>
        <v>437693.24135149649</v>
      </c>
      <c r="Y22" s="28">
        <f t="shared" si="9"/>
        <v>455200.97100555635</v>
      </c>
      <c r="Z22" s="28">
        <f t="shared" si="9"/>
        <v>473409.00984577864</v>
      </c>
      <c r="AA22" s="28">
        <f t="shared" si="9"/>
        <v>492345.37023960974</v>
      </c>
      <c r="AB22" s="28">
        <f t="shared" si="9"/>
        <v>512039.18504919426</v>
      </c>
      <c r="AC22" s="28">
        <f t="shared" si="9"/>
        <v>532520.75245116197</v>
      </c>
      <c r="AD22" s="28">
        <f t="shared" si="9"/>
        <v>553821.58254920843</v>
      </c>
      <c r="AE22" s="28">
        <f t="shared" si="9"/>
        <v>575974.44585117686</v>
      </c>
      <c r="AF22" s="28">
        <f t="shared" si="9"/>
        <v>599013.42368522403</v>
      </c>
      <c r="AG22" s="28">
        <f t="shared" si="9"/>
        <v>622973.96063263295</v>
      </c>
      <c r="AH22" s="28">
        <f t="shared" si="9"/>
        <v>647892.91905793827</v>
      </c>
      <c r="AI22" s="28">
        <f t="shared" si="9"/>
        <v>673808.63582025596</v>
      </c>
      <c r="AJ22" s="28">
        <f t="shared" si="9"/>
        <v>700760.98125306622</v>
      </c>
      <c r="AK22" s="28">
        <f t="shared" si="9"/>
        <v>728791.42050318874</v>
      </c>
      <c r="AL22" s="14">
        <f>COUNTIF(H22:AK22,"RS")</f>
        <v>0</v>
      </c>
    </row>
    <row r="23" spans="2:38" ht="15.75" x14ac:dyDescent="0.25">
      <c r="B23" s="230"/>
      <c r="C23" s="12" t="str">
        <f t="shared" ref="C23:C27" si="10">C7</f>
        <v>DELTA LED 171 W</v>
      </c>
      <c r="D23" s="48">
        <f>'CI Na_LED_CMH'!C8</f>
        <v>234</v>
      </c>
      <c r="E23" s="174">
        <v>2100</v>
      </c>
      <c r="F23" s="82">
        <v>0.04</v>
      </c>
      <c r="G23" s="104">
        <f t="shared" ref="G23:G27" si="11">SUM(H23:AK23)</f>
        <v>28662543.947115861</v>
      </c>
      <c r="H23" s="28">
        <f>$D23*$E23*(1+$F23)^H$5</f>
        <v>511056</v>
      </c>
      <c r="I23" s="28">
        <f t="shared" si="9"/>
        <v>531498.24000000011</v>
      </c>
      <c r="J23" s="28">
        <f t="shared" si="9"/>
        <v>552758.16960000002</v>
      </c>
      <c r="K23" s="28">
        <f t="shared" si="9"/>
        <v>574868.49638400006</v>
      </c>
      <c r="L23" s="28">
        <f t="shared" si="9"/>
        <v>597863.23623936018</v>
      </c>
      <c r="M23" s="28">
        <f t="shared" si="9"/>
        <v>621777.7656889346</v>
      </c>
      <c r="N23" s="28">
        <f t="shared" si="9"/>
        <v>646648.87631649186</v>
      </c>
      <c r="O23" s="28">
        <f t="shared" si="9"/>
        <v>672514.83136915171</v>
      </c>
      <c r="P23" s="28">
        <f t="shared" si="9"/>
        <v>699415.42462391779</v>
      </c>
      <c r="Q23" s="28">
        <f t="shared" si="9"/>
        <v>727392.04160887457</v>
      </c>
      <c r="R23" s="28">
        <f t="shared" si="9"/>
        <v>756487.72327322944</v>
      </c>
      <c r="S23" s="28">
        <f t="shared" si="9"/>
        <v>786747.23220415879</v>
      </c>
      <c r="T23" s="28">
        <f t="shared" si="9"/>
        <v>818217.12149232521</v>
      </c>
      <c r="U23" s="28">
        <f t="shared" si="9"/>
        <v>850945.80635201815</v>
      </c>
      <c r="V23" s="28">
        <f t="shared" si="9"/>
        <v>884983.63860609883</v>
      </c>
      <c r="W23" s="28">
        <f t="shared" si="9"/>
        <v>920382.98415034299</v>
      </c>
      <c r="X23" s="28">
        <f t="shared" si="9"/>
        <v>957198.30351635674</v>
      </c>
      <c r="Y23" s="28">
        <f t="shared" si="9"/>
        <v>995486.23565701116</v>
      </c>
      <c r="Z23" s="28">
        <f t="shared" si="9"/>
        <v>1035305.6850832915</v>
      </c>
      <c r="AA23" s="28">
        <f t="shared" si="9"/>
        <v>1076717.9124866233</v>
      </c>
      <c r="AB23" s="28">
        <f t="shared" si="9"/>
        <v>1119786.6289860883</v>
      </c>
      <c r="AC23" s="28">
        <f t="shared" si="9"/>
        <v>1164578.0941455318</v>
      </c>
      <c r="AD23" s="28">
        <f t="shared" si="9"/>
        <v>1211161.2179113531</v>
      </c>
      <c r="AE23" s="28">
        <f t="shared" si="9"/>
        <v>1259607.6666278073</v>
      </c>
      <c r="AF23" s="28">
        <f t="shared" si="9"/>
        <v>1309991.9732929198</v>
      </c>
      <c r="AG23" s="28">
        <f t="shared" si="9"/>
        <v>1362391.6522246364</v>
      </c>
      <c r="AH23" s="28">
        <f t="shared" si="9"/>
        <v>1416887.3183136219</v>
      </c>
      <c r="AI23" s="28">
        <f t="shared" si="9"/>
        <v>1473562.8110461673</v>
      </c>
      <c r="AJ23" s="28">
        <f t="shared" si="9"/>
        <v>1532505.3234880138</v>
      </c>
      <c r="AK23" s="28">
        <f t="shared" si="9"/>
        <v>1593805.5364275342</v>
      </c>
      <c r="AL23" s="14"/>
    </row>
    <row r="24" spans="2:38" ht="15.75" x14ac:dyDescent="0.25">
      <c r="B24" s="230"/>
      <c r="C24" s="12" t="str">
        <f t="shared" si="10"/>
        <v>DELTA LED 197 W</v>
      </c>
      <c r="D24" s="48">
        <f>'CI Na_LED_CMH'!C9</f>
        <v>55</v>
      </c>
      <c r="E24" s="174">
        <v>2100</v>
      </c>
      <c r="F24" s="82">
        <v>0.04</v>
      </c>
      <c r="G24" s="104">
        <f t="shared" si="11"/>
        <v>6736922.7226127042</v>
      </c>
      <c r="H24" s="28">
        <f t="shared" ref="H24:W27" si="12">$D24*$E24*(1+$F24)^H$5</f>
        <v>120120</v>
      </c>
      <c r="I24" s="28">
        <f t="shared" si="12"/>
        <v>124924.80000000002</v>
      </c>
      <c r="J24" s="28">
        <f t="shared" si="12"/>
        <v>129921.79200000002</v>
      </c>
      <c r="K24" s="28">
        <f t="shared" si="12"/>
        <v>135118.66368000003</v>
      </c>
      <c r="L24" s="28">
        <f t="shared" si="12"/>
        <v>140523.41022720005</v>
      </c>
      <c r="M24" s="28">
        <f t="shared" si="12"/>
        <v>146144.34663628804</v>
      </c>
      <c r="N24" s="28">
        <f t="shared" si="12"/>
        <v>151990.12050173956</v>
      </c>
      <c r="O24" s="28">
        <f t="shared" si="12"/>
        <v>158069.72532180915</v>
      </c>
      <c r="P24" s="28">
        <f t="shared" si="12"/>
        <v>164392.51433468153</v>
      </c>
      <c r="Q24" s="28">
        <f t="shared" si="12"/>
        <v>170968.2149080688</v>
      </c>
      <c r="R24" s="28">
        <f t="shared" si="12"/>
        <v>177806.94350439153</v>
      </c>
      <c r="S24" s="28">
        <f t="shared" si="12"/>
        <v>184919.22124456725</v>
      </c>
      <c r="T24" s="28">
        <f t="shared" si="12"/>
        <v>192315.99009434992</v>
      </c>
      <c r="U24" s="28">
        <f t="shared" si="12"/>
        <v>200008.62969812393</v>
      </c>
      <c r="V24" s="28">
        <f t="shared" si="12"/>
        <v>208008.97488604888</v>
      </c>
      <c r="W24" s="28">
        <f t="shared" si="12"/>
        <v>216329.33388149086</v>
      </c>
      <c r="X24" s="28">
        <f t="shared" si="9"/>
        <v>224982.50723675051</v>
      </c>
      <c r="Y24" s="28">
        <f t="shared" si="9"/>
        <v>233981.80752622057</v>
      </c>
      <c r="Z24" s="28">
        <f t="shared" si="9"/>
        <v>243341.07982726936</v>
      </c>
      <c r="AA24" s="28">
        <f t="shared" si="9"/>
        <v>253074.72302036016</v>
      </c>
      <c r="AB24" s="28">
        <f t="shared" si="9"/>
        <v>263197.71194117464</v>
      </c>
      <c r="AC24" s="28">
        <f t="shared" si="9"/>
        <v>273725.62041882158</v>
      </c>
      <c r="AD24" s="28">
        <f t="shared" si="9"/>
        <v>284674.64523557446</v>
      </c>
      <c r="AE24" s="28">
        <f t="shared" si="9"/>
        <v>296061.63104499743</v>
      </c>
      <c r="AF24" s="28">
        <f t="shared" si="9"/>
        <v>307904.09628679737</v>
      </c>
      <c r="AG24" s="28">
        <f t="shared" si="9"/>
        <v>320220.26013826928</v>
      </c>
      <c r="AH24" s="28">
        <f t="shared" si="9"/>
        <v>333029.07054380002</v>
      </c>
      <c r="AI24" s="28">
        <f t="shared" si="9"/>
        <v>346350.23336555209</v>
      </c>
      <c r="AJ24" s="28">
        <f t="shared" si="9"/>
        <v>360204.24270017422</v>
      </c>
      <c r="AK24" s="28">
        <f t="shared" si="9"/>
        <v>374612.41240818112</v>
      </c>
      <c r="AL24" s="14"/>
    </row>
    <row r="25" spans="2:38" ht="15.75" x14ac:dyDescent="0.25">
      <c r="B25" s="230"/>
      <c r="C25" s="12" t="str">
        <f t="shared" si="10"/>
        <v>COSMO LED 120W</v>
      </c>
      <c r="D25" s="48">
        <f>'CI Na_LED_CMH'!C10</f>
        <v>28</v>
      </c>
      <c r="E25" s="174">
        <v>2100</v>
      </c>
      <c r="F25" s="82">
        <v>0.04</v>
      </c>
      <c r="G25" s="104">
        <f t="shared" si="11"/>
        <v>3429706.1133301039</v>
      </c>
      <c r="H25" s="28">
        <f t="shared" si="12"/>
        <v>61152</v>
      </c>
      <c r="I25" s="28">
        <f t="shared" si="12"/>
        <v>63598.080000000009</v>
      </c>
      <c r="J25" s="28">
        <f t="shared" si="12"/>
        <v>66142.003200000006</v>
      </c>
      <c r="K25" s="28">
        <f t="shared" si="12"/>
        <v>68787.683328000014</v>
      </c>
      <c r="L25" s="28">
        <f t="shared" si="12"/>
        <v>71539.190661120025</v>
      </c>
      <c r="M25" s="28">
        <f t="shared" si="12"/>
        <v>74400.758287564822</v>
      </c>
      <c r="N25" s="28">
        <f t="shared" si="12"/>
        <v>77376.788619067403</v>
      </c>
      <c r="O25" s="28">
        <f t="shared" si="12"/>
        <v>80471.860163830119</v>
      </c>
      <c r="P25" s="28">
        <f t="shared" si="12"/>
        <v>83690.734570383327</v>
      </c>
      <c r="Q25" s="28">
        <f t="shared" si="12"/>
        <v>87038.363953198656</v>
      </c>
      <c r="R25" s="28">
        <f t="shared" si="12"/>
        <v>90519.898511326595</v>
      </c>
      <c r="S25" s="28">
        <f t="shared" si="12"/>
        <v>94140.69445177968</v>
      </c>
      <c r="T25" s="28">
        <f t="shared" si="12"/>
        <v>97906.322229850877</v>
      </c>
      <c r="U25" s="28">
        <f t="shared" si="12"/>
        <v>101822.57511904491</v>
      </c>
      <c r="V25" s="28">
        <f t="shared" si="12"/>
        <v>105895.47812380671</v>
      </c>
      <c r="W25" s="28">
        <f t="shared" si="12"/>
        <v>110131.29724875899</v>
      </c>
      <c r="X25" s="28">
        <f t="shared" si="9"/>
        <v>114536.54913870935</v>
      </c>
      <c r="Y25" s="28">
        <f t="shared" si="9"/>
        <v>119118.01110425775</v>
      </c>
      <c r="Z25" s="28">
        <f t="shared" si="9"/>
        <v>123882.73154842804</v>
      </c>
      <c r="AA25" s="28">
        <f t="shared" si="9"/>
        <v>128838.04081036517</v>
      </c>
      <c r="AB25" s="28">
        <f t="shared" si="9"/>
        <v>133991.5624427798</v>
      </c>
      <c r="AC25" s="28">
        <f t="shared" si="9"/>
        <v>139351.224940491</v>
      </c>
      <c r="AD25" s="28">
        <f t="shared" si="9"/>
        <v>144925.27393811062</v>
      </c>
      <c r="AE25" s="28">
        <f t="shared" si="9"/>
        <v>150722.28489563506</v>
      </c>
      <c r="AF25" s="28">
        <f t="shared" si="9"/>
        <v>156751.17629146049</v>
      </c>
      <c r="AG25" s="28">
        <f t="shared" si="9"/>
        <v>163021.22334311888</v>
      </c>
      <c r="AH25" s="28">
        <f t="shared" si="9"/>
        <v>169542.07227684365</v>
      </c>
      <c r="AI25" s="28">
        <f t="shared" si="9"/>
        <v>176323.75516791744</v>
      </c>
      <c r="AJ25" s="28">
        <f t="shared" si="9"/>
        <v>183376.70537463416</v>
      </c>
      <c r="AK25" s="28">
        <f t="shared" si="9"/>
        <v>190711.77358961949</v>
      </c>
      <c r="AL25" s="14"/>
    </row>
    <row r="26" spans="2:38" ht="15.75" x14ac:dyDescent="0.25">
      <c r="B26" s="230"/>
      <c r="C26" s="12" t="str">
        <f t="shared" si="10"/>
        <v>COSMO LED 200W</v>
      </c>
      <c r="D26" s="48">
        <f>'CI Na_LED_CMH'!C11</f>
        <v>56</v>
      </c>
      <c r="E26" s="174">
        <v>2100</v>
      </c>
      <c r="F26" s="82">
        <v>0.04</v>
      </c>
      <c r="G26" s="104">
        <f t="shared" si="11"/>
        <v>6859412.2266602078</v>
      </c>
      <c r="H26" s="28">
        <f t="shared" si="12"/>
        <v>122304</v>
      </c>
      <c r="I26" s="28">
        <f t="shared" si="12"/>
        <v>127196.16000000002</v>
      </c>
      <c r="J26" s="28">
        <f t="shared" si="12"/>
        <v>132284.00640000001</v>
      </c>
      <c r="K26" s="28">
        <f t="shared" si="12"/>
        <v>137575.36665600003</v>
      </c>
      <c r="L26" s="28">
        <f t="shared" si="12"/>
        <v>143078.38132224005</v>
      </c>
      <c r="M26" s="28">
        <f t="shared" si="12"/>
        <v>148801.51657512964</v>
      </c>
      <c r="N26" s="28">
        <f t="shared" si="12"/>
        <v>154753.57723813481</v>
      </c>
      <c r="O26" s="28">
        <f t="shared" si="12"/>
        <v>160943.72032766024</v>
      </c>
      <c r="P26" s="28">
        <f t="shared" si="12"/>
        <v>167381.46914076665</v>
      </c>
      <c r="Q26" s="28">
        <f t="shared" si="12"/>
        <v>174076.72790639731</v>
      </c>
      <c r="R26" s="28">
        <f t="shared" si="12"/>
        <v>181039.79702265319</v>
      </c>
      <c r="S26" s="28">
        <f t="shared" si="12"/>
        <v>188281.38890355936</v>
      </c>
      <c r="T26" s="28">
        <f t="shared" si="12"/>
        <v>195812.64445970175</v>
      </c>
      <c r="U26" s="28">
        <f t="shared" si="12"/>
        <v>203645.15023808982</v>
      </c>
      <c r="V26" s="28">
        <f t="shared" si="12"/>
        <v>211790.95624761342</v>
      </c>
      <c r="W26" s="28">
        <f t="shared" si="12"/>
        <v>220262.59449751797</v>
      </c>
      <c r="X26" s="28">
        <f t="shared" si="9"/>
        <v>229073.0982774187</v>
      </c>
      <c r="Y26" s="28">
        <f t="shared" si="9"/>
        <v>238236.0222085155</v>
      </c>
      <c r="Z26" s="28">
        <f t="shared" si="9"/>
        <v>247765.46309685608</v>
      </c>
      <c r="AA26" s="28">
        <f t="shared" si="9"/>
        <v>257676.08162073034</v>
      </c>
      <c r="AB26" s="28">
        <f t="shared" si="9"/>
        <v>267983.12488555961</v>
      </c>
      <c r="AC26" s="28">
        <f t="shared" si="9"/>
        <v>278702.44988098199</v>
      </c>
      <c r="AD26" s="28">
        <f t="shared" si="9"/>
        <v>289850.54787622124</v>
      </c>
      <c r="AE26" s="28">
        <f t="shared" si="9"/>
        <v>301444.56979127013</v>
      </c>
      <c r="AF26" s="28">
        <f t="shared" si="9"/>
        <v>313502.35258292098</v>
      </c>
      <c r="AG26" s="28">
        <f t="shared" si="9"/>
        <v>326042.44668623776</v>
      </c>
      <c r="AH26" s="28">
        <f t="shared" si="9"/>
        <v>339084.14455368731</v>
      </c>
      <c r="AI26" s="28">
        <f t="shared" si="9"/>
        <v>352647.51033583487</v>
      </c>
      <c r="AJ26" s="28">
        <f t="shared" si="9"/>
        <v>366753.41074926831</v>
      </c>
      <c r="AK26" s="28">
        <f t="shared" si="9"/>
        <v>381423.54717923899</v>
      </c>
      <c r="AL26" s="14"/>
    </row>
    <row r="27" spans="2:38" ht="15.75" x14ac:dyDescent="0.25">
      <c r="B27" s="230"/>
      <c r="C27" s="12" t="str">
        <f t="shared" si="10"/>
        <v>COSMO LED 246W</v>
      </c>
      <c r="D27" s="48">
        <f>'CI Na_LED_CMH'!C12</f>
        <v>120</v>
      </c>
      <c r="E27" s="174">
        <v>2100</v>
      </c>
      <c r="F27" s="82">
        <v>0.04</v>
      </c>
      <c r="G27" s="104">
        <f t="shared" si="11"/>
        <v>14698740.485700443</v>
      </c>
      <c r="H27" s="28">
        <f t="shared" si="12"/>
        <v>262080</v>
      </c>
      <c r="I27" s="28">
        <f t="shared" si="9"/>
        <v>272563.20000000001</v>
      </c>
      <c r="J27" s="28">
        <f t="shared" si="9"/>
        <v>283465.728</v>
      </c>
      <c r="K27" s="28">
        <f t="shared" si="9"/>
        <v>294804.35712000006</v>
      </c>
      <c r="L27" s="28">
        <f t="shared" si="9"/>
        <v>306596.53140480007</v>
      </c>
      <c r="M27" s="28">
        <f t="shared" si="9"/>
        <v>318860.3926609921</v>
      </c>
      <c r="N27" s="28">
        <f t="shared" si="9"/>
        <v>331614.80836743175</v>
      </c>
      <c r="O27" s="28">
        <f t="shared" si="9"/>
        <v>344879.40070212906</v>
      </c>
      <c r="P27" s="28">
        <f t="shared" si="9"/>
        <v>358674.57673021429</v>
      </c>
      <c r="Q27" s="28">
        <f t="shared" si="9"/>
        <v>373021.55979942286</v>
      </c>
      <c r="R27" s="28">
        <f t="shared" si="9"/>
        <v>387942.42219139973</v>
      </c>
      <c r="S27" s="28">
        <f t="shared" si="9"/>
        <v>403460.11907905579</v>
      </c>
      <c r="T27" s="28">
        <f t="shared" si="9"/>
        <v>419598.52384221804</v>
      </c>
      <c r="U27" s="28">
        <f t="shared" si="9"/>
        <v>436382.46479590674</v>
      </c>
      <c r="V27" s="28">
        <f t="shared" si="9"/>
        <v>453837.76338774303</v>
      </c>
      <c r="W27" s="28">
        <f t="shared" si="9"/>
        <v>471991.27392325283</v>
      </c>
      <c r="X27" s="28">
        <f t="shared" si="9"/>
        <v>490870.92488018295</v>
      </c>
      <c r="Y27" s="28">
        <f t="shared" si="9"/>
        <v>510505.76187539031</v>
      </c>
      <c r="Z27" s="28">
        <f t="shared" si="9"/>
        <v>530925.9923504059</v>
      </c>
      <c r="AA27" s="28">
        <f t="shared" si="9"/>
        <v>552163.03204442211</v>
      </c>
      <c r="AB27" s="28">
        <f t="shared" si="9"/>
        <v>574249.55332619918</v>
      </c>
      <c r="AC27" s="28">
        <f t="shared" si="9"/>
        <v>597219.53545924707</v>
      </c>
      <c r="AD27" s="28">
        <f t="shared" si="9"/>
        <v>621108.31687761692</v>
      </c>
      <c r="AE27" s="28">
        <f t="shared" si="9"/>
        <v>645952.64955272165</v>
      </c>
      <c r="AF27" s="28">
        <f t="shared" si="9"/>
        <v>671790.75553483074</v>
      </c>
      <c r="AG27" s="28">
        <f t="shared" si="9"/>
        <v>698662.38575622381</v>
      </c>
      <c r="AH27" s="28">
        <f t="shared" si="9"/>
        <v>726608.88118647283</v>
      </c>
      <c r="AI27" s="28">
        <f t="shared" si="9"/>
        <v>755673.23643393186</v>
      </c>
      <c r="AJ27" s="28">
        <f t="shared" si="9"/>
        <v>785900.16589128925</v>
      </c>
      <c r="AK27" s="28">
        <f t="shared" si="9"/>
        <v>817336.1725269407</v>
      </c>
      <c r="AL27" s="14">
        <f>COUNTIF(H27:AK27,"RS")</f>
        <v>0</v>
      </c>
    </row>
    <row r="28" spans="2:38" x14ac:dyDescent="0.25">
      <c r="B28" s="16" t="s">
        <v>24</v>
      </c>
      <c r="C28" s="17"/>
      <c r="D28" s="18"/>
      <c r="E28" s="18"/>
      <c r="F28" s="108"/>
      <c r="G28" s="105">
        <f t="shared" ref="G28:AK28" si="13">SUM(G22:G27)</f>
        <v>73493702.428502202</v>
      </c>
      <c r="H28" s="19">
        <f>SUM(H22:H27)</f>
        <v>1310400</v>
      </c>
      <c r="I28" s="19">
        <f t="shared" si="13"/>
        <v>1362816</v>
      </c>
      <c r="J28" s="19">
        <f t="shared" si="13"/>
        <v>1417328.6400000001</v>
      </c>
      <c r="K28" s="19">
        <f t="shared" si="13"/>
        <v>1474021.7856000003</v>
      </c>
      <c r="L28" s="19">
        <f t="shared" si="13"/>
        <v>1532982.6570240003</v>
      </c>
      <c r="M28" s="19">
        <f t="shared" si="13"/>
        <v>1594301.9633049606</v>
      </c>
      <c r="N28" s="19">
        <f t="shared" si="13"/>
        <v>1658074.0418371591</v>
      </c>
      <c r="O28" s="19">
        <f t="shared" si="13"/>
        <v>1724397.0035106454</v>
      </c>
      <c r="P28" s="19">
        <f t="shared" si="13"/>
        <v>1793372.8836510712</v>
      </c>
      <c r="Q28" s="19">
        <f t="shared" si="13"/>
        <v>1865107.7989971139</v>
      </c>
      <c r="R28" s="19">
        <f t="shared" si="13"/>
        <v>1939712.1109569985</v>
      </c>
      <c r="S28" s="19">
        <f t="shared" si="13"/>
        <v>2017300.5953952789</v>
      </c>
      <c r="T28" s="19">
        <f t="shared" si="13"/>
        <v>2097992.6192110903</v>
      </c>
      <c r="U28" s="19">
        <f t="shared" si="13"/>
        <v>2181912.3239795337</v>
      </c>
      <c r="V28" s="19">
        <f t="shared" si="13"/>
        <v>2269188.8169387146</v>
      </c>
      <c r="W28" s="19">
        <f t="shared" si="13"/>
        <v>2359956.369616264</v>
      </c>
      <c r="X28" s="19">
        <f t="shared" si="13"/>
        <v>2454354.6244009146</v>
      </c>
      <c r="Y28" s="19">
        <f t="shared" si="13"/>
        <v>2552528.8093769518</v>
      </c>
      <c r="Z28" s="19">
        <f t="shared" si="13"/>
        <v>2654629.9617520296</v>
      </c>
      <c r="AA28" s="19">
        <f t="shared" si="13"/>
        <v>2760815.1602221103</v>
      </c>
      <c r="AB28" s="19">
        <f t="shared" si="13"/>
        <v>2871247.766630996</v>
      </c>
      <c r="AC28" s="19">
        <f t="shared" si="13"/>
        <v>2986097.6772962348</v>
      </c>
      <c r="AD28" s="19">
        <f t="shared" si="13"/>
        <v>3105541.5843880847</v>
      </c>
      <c r="AE28" s="19">
        <f t="shared" si="13"/>
        <v>3229763.2477636081</v>
      </c>
      <c r="AF28" s="19">
        <f t="shared" si="13"/>
        <v>3358953.7776741534</v>
      </c>
      <c r="AG28" s="19">
        <f t="shared" si="13"/>
        <v>3493311.9287811192</v>
      </c>
      <c r="AH28" s="19">
        <f t="shared" si="13"/>
        <v>3633044.4059323641</v>
      </c>
      <c r="AI28" s="19">
        <f t="shared" si="13"/>
        <v>3778366.1821696591</v>
      </c>
      <c r="AJ28" s="19">
        <f t="shared" si="13"/>
        <v>3929500.8294564462</v>
      </c>
      <c r="AK28" s="19">
        <f t="shared" si="13"/>
        <v>4086680.8626347031</v>
      </c>
      <c r="AL28" s="14"/>
    </row>
    <row r="29" spans="2:38" x14ac:dyDescent="0.25">
      <c r="B29" s="20"/>
      <c r="C29" s="20"/>
      <c r="D29" s="49"/>
      <c r="E29" s="20"/>
      <c r="F29" s="109"/>
      <c r="G29" s="106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2"/>
    </row>
    <row r="30" spans="2:38" ht="15.75" x14ac:dyDescent="0.25">
      <c r="B30" s="230" t="s">
        <v>60</v>
      </c>
      <c r="C30" s="12">
        <v>125</v>
      </c>
      <c r="D30" s="48">
        <f>'CI Na_LED_CMH'!C7</f>
        <v>107</v>
      </c>
      <c r="E30" s="174">
        <f>'CI Na_LED_CMH'!D7-E6-E14</f>
        <v>230000</v>
      </c>
      <c r="F30" s="82">
        <v>0.04</v>
      </c>
      <c r="G30" s="104">
        <f>SUM(H30:AK30)</f>
        <v>46094068.457346238</v>
      </c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>
        <f>$D30*$E30*(1+$F30)^W$5</f>
        <v>46094068.457346238</v>
      </c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14">
        <f>COUNTIF(H30:AK30,"RS")</f>
        <v>0</v>
      </c>
    </row>
    <row r="31" spans="2:38" ht="15.75" x14ac:dyDescent="0.25">
      <c r="B31" s="230"/>
      <c r="C31" s="12">
        <v>171</v>
      </c>
      <c r="D31" s="48">
        <f>'CI Na_LED_CMH'!C8</f>
        <v>234</v>
      </c>
      <c r="E31" s="174">
        <f>'CI Na_LED_CMH'!D8-E7-E15</f>
        <v>280000</v>
      </c>
      <c r="F31" s="82">
        <v>0.04</v>
      </c>
      <c r="G31" s="104">
        <f t="shared" ref="G31:G35" si="14">SUM(H31:AK31)</f>
        <v>122717731.22004573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>
        <f t="shared" ref="W31:W35" si="15">$D31*$E31*(1+$F31)^W$5</f>
        <v>122717731.22004573</v>
      </c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14"/>
    </row>
    <row r="32" spans="2:38" ht="15.75" x14ac:dyDescent="0.25">
      <c r="B32" s="230"/>
      <c r="C32" s="12">
        <v>197</v>
      </c>
      <c r="D32" s="48">
        <f>'CI Na_LED_CMH'!C9</f>
        <v>55</v>
      </c>
      <c r="E32" s="174">
        <f>'CI Na_LED_CMH'!D9-E8-E16</f>
        <v>320000</v>
      </c>
      <c r="F32" s="82">
        <v>0.04</v>
      </c>
      <c r="G32" s="104">
        <f t="shared" si="14"/>
        <v>32964469.924798608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>
        <f t="shared" si="15"/>
        <v>32964469.924798608</v>
      </c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14"/>
    </row>
    <row r="33" spans="2:38" ht="15.75" x14ac:dyDescent="0.25">
      <c r="B33" s="230"/>
      <c r="C33" s="12">
        <v>120</v>
      </c>
      <c r="D33" s="48">
        <f>'CI Na_LED_CMH'!C10</f>
        <v>28</v>
      </c>
      <c r="E33" s="174">
        <f>'CI Na_LED_CMH'!D10-E9-E17</f>
        <v>220000</v>
      </c>
      <c r="F33" s="82">
        <v>0.04</v>
      </c>
      <c r="G33" s="104">
        <f t="shared" si="14"/>
        <v>11537564.473679513</v>
      </c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>
        <f t="shared" si="15"/>
        <v>11537564.473679513</v>
      </c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14"/>
    </row>
    <row r="34" spans="2:38" ht="15.75" x14ac:dyDescent="0.25">
      <c r="B34" s="230"/>
      <c r="C34" s="12">
        <v>200</v>
      </c>
      <c r="D34" s="48">
        <f>'CI Na_LED_CMH'!C11</f>
        <v>56</v>
      </c>
      <c r="E34" s="174">
        <f>'CI Na_LED_CMH'!D11-E10-E18</f>
        <v>320000</v>
      </c>
      <c r="F34" s="82">
        <v>0.04</v>
      </c>
      <c r="G34" s="104">
        <f t="shared" si="14"/>
        <v>33563823.923431315</v>
      </c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>
        <f t="shared" si="15"/>
        <v>33563823.923431315</v>
      </c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14"/>
    </row>
    <row r="35" spans="2:38" ht="15.75" x14ac:dyDescent="0.25">
      <c r="B35" s="230"/>
      <c r="C35" s="12">
        <v>246</v>
      </c>
      <c r="D35" s="48">
        <f>'CI Na_LED_CMH'!C12</f>
        <v>120</v>
      </c>
      <c r="E35" s="174">
        <f>'CI Na_LED_CMH'!D12-E11-E19</f>
        <v>360000</v>
      </c>
      <c r="F35" s="82">
        <v>0.04</v>
      </c>
      <c r="G35" s="104">
        <f t="shared" si="14"/>
        <v>80912789.815414771</v>
      </c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>
        <f t="shared" si="15"/>
        <v>80912789.815414771</v>
      </c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14">
        <f>COUNTIF(H35:AK35,"RS")</f>
        <v>0</v>
      </c>
    </row>
    <row r="36" spans="2:38" x14ac:dyDescent="0.25">
      <c r="B36" s="16" t="s">
        <v>24</v>
      </c>
      <c r="C36" s="17"/>
      <c r="D36" s="18"/>
      <c r="E36" s="18"/>
      <c r="F36" s="18"/>
      <c r="G36" s="105">
        <f t="shared" ref="G36" si="16">SUM(G30:G35)</f>
        <v>327790447.81471616</v>
      </c>
      <c r="H36" s="19">
        <f>SUM(H30:H35)</f>
        <v>0</v>
      </c>
      <c r="I36" s="19">
        <f t="shared" ref="I36:AK36" si="17">SUM(I30:I35)</f>
        <v>0</v>
      </c>
      <c r="J36" s="19">
        <f t="shared" si="17"/>
        <v>0</v>
      </c>
      <c r="K36" s="19">
        <f t="shared" si="17"/>
        <v>0</v>
      </c>
      <c r="L36" s="19">
        <f t="shared" si="17"/>
        <v>0</v>
      </c>
      <c r="M36" s="19">
        <f t="shared" si="17"/>
        <v>0</v>
      </c>
      <c r="N36" s="19">
        <f t="shared" si="17"/>
        <v>0</v>
      </c>
      <c r="O36" s="19">
        <f t="shared" si="17"/>
        <v>0</v>
      </c>
      <c r="P36" s="19">
        <f t="shared" si="17"/>
        <v>0</v>
      </c>
      <c r="Q36" s="19">
        <f t="shared" si="17"/>
        <v>0</v>
      </c>
      <c r="R36" s="19">
        <f t="shared" si="17"/>
        <v>0</v>
      </c>
      <c r="S36" s="19">
        <f t="shared" si="17"/>
        <v>0</v>
      </c>
      <c r="T36" s="19">
        <f t="shared" si="17"/>
        <v>0</v>
      </c>
      <c r="U36" s="19">
        <f t="shared" si="17"/>
        <v>0</v>
      </c>
      <c r="V36" s="19">
        <f t="shared" si="17"/>
        <v>0</v>
      </c>
      <c r="W36" s="111">
        <f t="shared" si="17"/>
        <v>327790447.81471616</v>
      </c>
      <c r="X36" s="19">
        <f t="shared" si="17"/>
        <v>0</v>
      </c>
      <c r="Y36" s="19">
        <f t="shared" si="17"/>
        <v>0</v>
      </c>
      <c r="Z36" s="19">
        <f t="shared" si="17"/>
        <v>0</v>
      </c>
      <c r="AA36" s="19">
        <f t="shared" si="17"/>
        <v>0</v>
      </c>
      <c r="AB36" s="19">
        <f t="shared" si="17"/>
        <v>0</v>
      </c>
      <c r="AC36" s="19">
        <f t="shared" si="17"/>
        <v>0</v>
      </c>
      <c r="AD36" s="19">
        <f t="shared" si="17"/>
        <v>0</v>
      </c>
      <c r="AE36" s="19">
        <f t="shared" si="17"/>
        <v>0</v>
      </c>
      <c r="AF36" s="19">
        <f t="shared" si="17"/>
        <v>0</v>
      </c>
      <c r="AG36" s="19">
        <f t="shared" si="17"/>
        <v>0</v>
      </c>
      <c r="AH36" s="19">
        <f t="shared" si="17"/>
        <v>0</v>
      </c>
      <c r="AI36" s="19">
        <f t="shared" si="17"/>
        <v>0</v>
      </c>
      <c r="AJ36" s="19">
        <f t="shared" si="17"/>
        <v>0</v>
      </c>
      <c r="AK36" s="19">
        <f t="shared" si="17"/>
        <v>0</v>
      </c>
      <c r="AL36" s="14"/>
    </row>
    <row r="37" spans="2:38" x14ac:dyDescent="0.25">
      <c r="B37" s="20"/>
      <c r="C37" s="20"/>
      <c r="D37" s="49"/>
      <c r="E37" s="20"/>
      <c r="F37" s="20"/>
      <c r="G37" s="106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2"/>
    </row>
    <row r="38" spans="2:38" ht="22.5" x14ac:dyDescent="0.25">
      <c r="B38" s="39" t="s">
        <v>36</v>
      </c>
      <c r="C38" s="12" t="s">
        <v>26</v>
      </c>
      <c r="D38" s="50">
        <f>(((C30+C44)*D30)+((C31+C45)+D31)+((C32+C46)*D32)+((C33+C47)*D33)+((C34+C48)*D34)+((C35+C49)*D35))/1000</f>
        <v>75.5411</v>
      </c>
      <c r="E38" s="13">
        <f>(12*7*52*RESUMEN!C25)</f>
        <v>1586544.9600000002</v>
      </c>
      <c r="F38" s="88">
        <v>5.5E-2</v>
      </c>
      <c r="G38" s="104">
        <f>SUM(H38:AK38)</f>
        <v>9158819037.0247402</v>
      </c>
      <c r="H38" s="28">
        <f>$D38*$E38*(1+$F38)^H$5</f>
        <v>126441065.80913809</v>
      </c>
      <c r="I38" s="28">
        <f t="shared" ref="I38:AK38" si="18">$D38*$E38*(1+$F38)^I$5</f>
        <v>133395324.42864068</v>
      </c>
      <c r="J38" s="28">
        <f t="shared" si="18"/>
        <v>140732067.2722159</v>
      </c>
      <c r="K38" s="28">
        <f t="shared" si="18"/>
        <v>148472330.97218779</v>
      </c>
      <c r="L38" s="28">
        <f t="shared" si="18"/>
        <v>156638309.17565811</v>
      </c>
      <c r="M38" s="28">
        <f t="shared" si="18"/>
        <v>165253416.18031928</v>
      </c>
      <c r="N38" s="28">
        <f t="shared" si="18"/>
        <v>174342354.07023683</v>
      </c>
      <c r="O38" s="28">
        <f t="shared" si="18"/>
        <v>183931183.54409987</v>
      </c>
      <c r="P38" s="28">
        <f t="shared" si="18"/>
        <v>194047398.63902536</v>
      </c>
      <c r="Q38" s="28">
        <f t="shared" si="18"/>
        <v>204720005.56417173</v>
      </c>
      <c r="R38" s="28">
        <f t="shared" si="18"/>
        <v>215979605.87020117</v>
      </c>
      <c r="S38" s="28">
        <f t="shared" si="18"/>
        <v>227858484.19306222</v>
      </c>
      <c r="T38" s="28">
        <f t="shared" si="18"/>
        <v>240390700.82368064</v>
      </c>
      <c r="U38" s="28">
        <f t="shared" si="18"/>
        <v>253612189.36898306</v>
      </c>
      <c r="V38" s="28">
        <f t="shared" si="18"/>
        <v>267560859.78427711</v>
      </c>
      <c r="W38" s="28">
        <f t="shared" si="18"/>
        <v>282276707.07241237</v>
      </c>
      <c r="X38" s="28">
        <f t="shared" si="18"/>
        <v>297801925.96139503</v>
      </c>
      <c r="Y38" s="28">
        <f t="shared" si="18"/>
        <v>314181031.88927174</v>
      </c>
      <c r="Z38" s="28">
        <f t="shared" si="18"/>
        <v>331460988.64318168</v>
      </c>
      <c r="AA38" s="28">
        <f t="shared" si="18"/>
        <v>349691343.01855665</v>
      </c>
      <c r="AB38" s="28">
        <f t="shared" si="18"/>
        <v>368924366.88457727</v>
      </c>
      <c r="AC38" s="28">
        <f t="shared" si="18"/>
        <v>389215207.06322896</v>
      </c>
      <c r="AD38" s="28">
        <f t="shared" si="18"/>
        <v>410622043.45170653</v>
      </c>
      <c r="AE38" s="28">
        <f t="shared" si="18"/>
        <v>433206255.84155041</v>
      </c>
      <c r="AF38" s="28">
        <f t="shared" si="18"/>
        <v>457032599.91283566</v>
      </c>
      <c r="AG38" s="28">
        <f t="shared" si="18"/>
        <v>482169392.90804166</v>
      </c>
      <c r="AH38" s="28">
        <f t="shared" si="18"/>
        <v>508688709.51798385</v>
      </c>
      <c r="AI38" s="28">
        <f t="shared" si="18"/>
        <v>536666588.54147297</v>
      </c>
      <c r="AJ38" s="28">
        <f t="shared" si="18"/>
        <v>566183250.91125393</v>
      </c>
      <c r="AK38" s="28">
        <f t="shared" si="18"/>
        <v>597323329.71137285</v>
      </c>
      <c r="AL38" s="14">
        <f>COUNTIF(H38:AK38,"RS")</f>
        <v>0</v>
      </c>
    </row>
    <row r="39" spans="2:38" x14ac:dyDescent="0.25">
      <c r="B39" s="16" t="s">
        <v>27</v>
      </c>
      <c r="C39" s="17"/>
      <c r="D39" s="18"/>
      <c r="E39" s="18"/>
      <c r="F39" s="18"/>
      <c r="G39" s="107">
        <f>G38</f>
        <v>9158819037.0247402</v>
      </c>
      <c r="H39" s="19">
        <f t="shared" ref="H39:AK39" si="19">SUM(H38:H38)</f>
        <v>126441065.80913809</v>
      </c>
      <c r="I39" s="19">
        <f t="shared" si="19"/>
        <v>133395324.42864068</v>
      </c>
      <c r="J39" s="19">
        <f t="shared" si="19"/>
        <v>140732067.2722159</v>
      </c>
      <c r="K39" s="19">
        <f t="shared" si="19"/>
        <v>148472330.97218779</v>
      </c>
      <c r="L39" s="19">
        <f t="shared" si="19"/>
        <v>156638309.17565811</v>
      </c>
      <c r="M39" s="19">
        <f t="shared" si="19"/>
        <v>165253416.18031928</v>
      </c>
      <c r="N39" s="19">
        <f t="shared" si="19"/>
        <v>174342354.07023683</v>
      </c>
      <c r="O39" s="19">
        <f t="shared" si="19"/>
        <v>183931183.54409987</v>
      </c>
      <c r="P39" s="19">
        <f t="shared" si="19"/>
        <v>194047398.63902536</v>
      </c>
      <c r="Q39" s="19">
        <f t="shared" si="19"/>
        <v>204720005.56417173</v>
      </c>
      <c r="R39" s="19">
        <f t="shared" si="19"/>
        <v>215979605.87020117</v>
      </c>
      <c r="S39" s="19">
        <f t="shared" si="19"/>
        <v>227858484.19306222</v>
      </c>
      <c r="T39" s="19">
        <f t="shared" si="19"/>
        <v>240390700.82368064</v>
      </c>
      <c r="U39" s="19">
        <f t="shared" si="19"/>
        <v>253612189.36898306</v>
      </c>
      <c r="V39" s="19">
        <f t="shared" si="19"/>
        <v>267560859.78427711</v>
      </c>
      <c r="W39" s="19">
        <f t="shared" si="19"/>
        <v>282276707.07241237</v>
      </c>
      <c r="X39" s="19">
        <f t="shared" si="19"/>
        <v>297801925.96139503</v>
      </c>
      <c r="Y39" s="19">
        <f t="shared" si="19"/>
        <v>314181031.88927174</v>
      </c>
      <c r="Z39" s="19">
        <f t="shared" si="19"/>
        <v>331460988.64318168</v>
      </c>
      <c r="AA39" s="19">
        <f t="shared" si="19"/>
        <v>349691343.01855665</v>
      </c>
      <c r="AB39" s="19">
        <f t="shared" si="19"/>
        <v>368924366.88457727</v>
      </c>
      <c r="AC39" s="19">
        <f t="shared" si="19"/>
        <v>389215207.06322896</v>
      </c>
      <c r="AD39" s="19">
        <f t="shared" si="19"/>
        <v>410622043.45170653</v>
      </c>
      <c r="AE39" s="19">
        <f t="shared" si="19"/>
        <v>433206255.84155041</v>
      </c>
      <c r="AF39" s="19">
        <f t="shared" si="19"/>
        <v>457032599.91283566</v>
      </c>
      <c r="AG39" s="19">
        <f t="shared" si="19"/>
        <v>482169392.90804166</v>
      </c>
      <c r="AH39" s="19">
        <f t="shared" si="19"/>
        <v>508688709.51798385</v>
      </c>
      <c r="AI39" s="19">
        <f t="shared" si="19"/>
        <v>536666588.54147297</v>
      </c>
      <c r="AJ39" s="19">
        <f t="shared" si="19"/>
        <v>566183250.91125393</v>
      </c>
      <c r="AK39" s="19">
        <f t="shared" si="19"/>
        <v>597323329.71137285</v>
      </c>
      <c r="AL39" s="14"/>
    </row>
    <row r="40" spans="2:38" x14ac:dyDescent="0.25">
      <c r="B40" s="113"/>
      <c r="C40" s="114"/>
      <c r="D40" s="116"/>
      <c r="E40" s="116"/>
      <c r="F40" s="116"/>
      <c r="G40" s="15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9"/>
    </row>
    <row r="41" spans="2:38" x14ac:dyDescent="0.25">
      <c r="B41" s="231" t="s">
        <v>68</v>
      </c>
      <c r="C41" s="232"/>
      <c r="D41" s="232"/>
      <c r="E41" s="232"/>
      <c r="F41" s="232"/>
      <c r="G41" s="233"/>
      <c r="H41" s="161">
        <f>IF(H5&lt;=RESUMEN!$C$24,+H12+H20+H28+H39,)</f>
        <v>127751465.80913809</v>
      </c>
      <c r="I41" s="161">
        <f>IF(I5&lt;=RESUMEN!$C$24,+I12+I20+I28+I39,)</f>
        <v>134758140.42864066</v>
      </c>
      <c r="J41" s="161">
        <f>IF(J5&lt;=RESUMEN!$C$24,+J12+J20+J28+J39,)</f>
        <v>142149395.91221589</v>
      </c>
      <c r="K41" s="161">
        <f>IF(K5&lt;=RESUMEN!$C$24,+K12+K20+K28+K39,)</f>
        <v>149946352.75778779</v>
      </c>
      <c r="L41" s="161">
        <f>IF(L5&lt;=RESUMEN!$C$24,+L12+L20+L28+L39,)</f>
        <v>158171291.8326821</v>
      </c>
      <c r="M41" s="161">
        <f>IF(M5&lt;=RESUMEN!$C$24,+M12+M20+M28+M39,)</f>
        <v>166847718.14362425</v>
      </c>
      <c r="N41" s="161">
        <f>IF(N5&lt;=RESUMEN!$C$24,+N12+N20+N28+N39,)</f>
        <v>176000428.11207399</v>
      </c>
      <c r="O41" s="161">
        <f>IF(O5&lt;=RESUMEN!$C$24,+O12+O20+O28+O39,)</f>
        <v>185655580.54761052</v>
      </c>
      <c r="P41" s="161">
        <f>IF(P5&lt;=RESUMEN!$C$24,+P12+P20+P28+P39,)</f>
        <v>195840771.52267644</v>
      </c>
      <c r="Q41" s="161">
        <f>IF(Q5&lt;=RESUMEN!$C$24,+Q12+Q20+Q28+Q39,)</f>
        <v>206585113.36316884</v>
      </c>
      <c r="R41" s="161">
        <f>IF(R5&lt;=RESUMEN!$C$24,+R12+R20+R28+R39,)</f>
        <v>217919317.98115817</v>
      </c>
      <c r="S41" s="161">
        <f>IF(S5&lt;=RESUMEN!$C$24,+S12+S20+S28+S39,)</f>
        <v>229875784.78845748</v>
      </c>
      <c r="T41" s="161">
        <f>IF(T5&lt;=RESUMEN!$C$24,+T12+T20+T28+T39,)</f>
        <v>242488693.44289172</v>
      </c>
      <c r="U41" s="161">
        <f>IF(U5&lt;=RESUMEN!$C$24,+U12+U20+U28+U39,)</f>
        <v>255794101.69296259</v>
      </c>
      <c r="V41" s="161">
        <f>IF(V5&lt;=RESUMEN!$C$24,+V12+V20+V28+V39,)</f>
        <v>269830048.60121584</v>
      </c>
      <c r="W41" s="161">
        <f>IF(W5&lt;=RESUMEN!$C$24,+W12+W20+W28+W39,)</f>
        <v>1357330482.4949069</v>
      </c>
      <c r="X41" s="161">
        <f>IF(X5&lt;=RESUMEN!$C$24,+X12+X20+X28+X39,)</f>
        <v>300256280.58579594</v>
      </c>
      <c r="Y41" s="161">
        <f>IF(Y5&lt;=RESUMEN!$C$24,+Y12+Y20+Y28+Y39,)</f>
        <v>316733560.69864869</v>
      </c>
      <c r="Z41" s="161">
        <f>IF(Z5&lt;=RESUMEN!$C$24,+Z12+Z20+Z28+Z39,)</f>
        <v>334115618.60493374</v>
      </c>
      <c r="AA41" s="161">
        <f>IF(AA5&lt;=RESUMEN!$C$24,+AA12+AA20+AA28+AA39,)</f>
        <v>352452158.17877877</v>
      </c>
      <c r="AB41" s="161">
        <f>IF(AB5&lt;=RESUMEN!$C$24,+AB12+AB20+AB28+AB39,)</f>
        <v>371795614.65120828</v>
      </c>
      <c r="AC41" s="161">
        <f>IF(AC5&lt;=RESUMEN!$C$24,+AC12+AC20+AC28+AC39,)</f>
        <v>392201304.74052519</v>
      </c>
      <c r="AD41" s="161">
        <f>IF(AD5&lt;=RESUMEN!$C$24,+AD12+AD20+AD28+AD39,)</f>
        <v>413727585.03609461</v>
      </c>
      <c r="AE41" s="161">
        <f>IF(AE5&lt;=RESUMEN!$C$24,+AE12+AE20+AE28+AE39,)</f>
        <v>436436019.08931404</v>
      </c>
      <c r="AF41" s="161">
        <f>IF(AF5&lt;=RESUMEN!$C$24,+AF12+AF20+AF28+AF39,)</f>
        <v>460391553.6905098</v>
      </c>
      <c r="AG41" s="161">
        <f>IF(AG5&lt;=RESUMEN!$C$24,+AG12+AG20+AG28+AG39,)</f>
        <v>485662704.83682275</v>
      </c>
      <c r="AH41" s="161">
        <f>IF(AH5&lt;=RESUMEN!$C$24,+AH12+AH20+AH28+AH39,)</f>
        <v>512321753.92391622</v>
      </c>
      <c r="AI41" s="161">
        <f>IF(AI5&lt;=RESUMEN!$C$24,+AI12+AI20+AI28+AI39,)</f>
        <v>540444954.72364259</v>
      </c>
      <c r="AJ41" s="161">
        <f>IF(AJ5&lt;=RESUMEN!$C$24,+AJ12+AJ20+AJ28+AJ39,)</f>
        <v>570112751.74071038</v>
      </c>
      <c r="AK41" s="161">
        <f>IF(AK5&lt;=RESUMEN!$C$24,+AK12+AK20+AK28+AK39,)</f>
        <v>601410010.57400751</v>
      </c>
    </row>
    <row r="42" spans="2:38" ht="15.75" thickBot="1" x14ac:dyDescent="0.3">
      <c r="B42" s="220" t="s">
        <v>47</v>
      </c>
      <c r="C42" s="220"/>
      <c r="D42" s="220"/>
      <c r="E42" s="220"/>
      <c r="F42" s="220"/>
      <c r="G42" s="221"/>
      <c r="H42" s="154">
        <f>+(G12+G20+G28+G36+G39)</f>
        <v>10871264978.526823</v>
      </c>
      <c r="I42" s="92"/>
      <c r="J42" s="92"/>
      <c r="K42" s="92"/>
      <c r="L42" s="93"/>
    </row>
    <row r="43" spans="2:38" ht="15.75" thickTop="1" x14ac:dyDescent="0.25">
      <c r="I43" s="93"/>
      <c r="J43" s="93"/>
      <c r="K43" s="93"/>
      <c r="L43" s="93"/>
    </row>
    <row r="44" spans="2:38" x14ac:dyDescent="0.25">
      <c r="B44" s="140" t="s">
        <v>106</v>
      </c>
      <c r="C44" s="140">
        <v>12.5</v>
      </c>
    </row>
    <row r="45" spans="2:38" x14ac:dyDescent="0.25">
      <c r="B45" s="140" t="s">
        <v>107</v>
      </c>
      <c r="C45" s="9">
        <v>17.100000000000001</v>
      </c>
    </row>
    <row r="46" spans="2:38" x14ac:dyDescent="0.25">
      <c r="B46" s="140" t="s">
        <v>108</v>
      </c>
      <c r="C46" s="9">
        <v>19.7</v>
      </c>
    </row>
    <row r="47" spans="2:38" x14ac:dyDescent="0.25">
      <c r="B47" s="140" t="s">
        <v>109</v>
      </c>
      <c r="C47" s="9">
        <v>12</v>
      </c>
    </row>
    <row r="48" spans="2:38" x14ac:dyDescent="0.25">
      <c r="B48" s="140" t="s">
        <v>110</v>
      </c>
      <c r="C48" s="9">
        <v>20</v>
      </c>
    </row>
    <row r="49" spans="2:3" x14ac:dyDescent="0.25">
      <c r="B49" s="140" t="s">
        <v>111</v>
      </c>
      <c r="C49" s="9">
        <v>24.6</v>
      </c>
    </row>
  </sheetData>
  <mergeCells count="9">
    <mergeCell ref="B42:G42"/>
    <mergeCell ref="B22:B27"/>
    <mergeCell ref="B30:B35"/>
    <mergeCell ref="D4:G4"/>
    <mergeCell ref="H4:AK4"/>
    <mergeCell ref="B5:C5"/>
    <mergeCell ref="B6:B11"/>
    <mergeCell ref="B14:B19"/>
    <mergeCell ref="B41:G41"/>
  </mergeCells>
  <phoneticPr fontId="0" type="noConversion"/>
  <printOptions horizontalCentered="1" verticalCentered="1"/>
  <pageMargins left="0" right="0" top="0.39370078740157483" bottom="0.39370078740157483" header="0.31496062992125984" footer="0.31496062992125984"/>
  <pageSetup scale="60" orientation="landscape" r:id="rId1"/>
  <headerFooter>
    <oddFooter>&amp;R&amp;G</oddFooter>
  </headerFooter>
  <ignoredErrors>
    <ignoredError sqref="C15" formula="1"/>
  </ignoredError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C42"/>
  <sheetViews>
    <sheetView workbookViewId="0">
      <selection activeCell="E19" sqref="E19"/>
    </sheetView>
  </sheetViews>
  <sheetFormatPr baseColWidth="10" defaultRowHeight="12.75" x14ac:dyDescent="0.2"/>
  <cols>
    <col min="2" max="2" width="24.5703125" bestFit="1" customWidth="1"/>
    <col min="3" max="3" width="15.85546875" bestFit="1" customWidth="1"/>
  </cols>
  <sheetData>
    <row r="1" spans="1:3" ht="15" x14ac:dyDescent="0.25">
      <c r="A1" s="235" t="s">
        <v>37</v>
      </c>
      <c r="B1" s="235"/>
    </row>
    <row r="2" spans="1:3" ht="15" x14ac:dyDescent="0.25">
      <c r="A2" s="139"/>
      <c r="B2" s="141" t="s">
        <v>48</v>
      </c>
    </row>
    <row r="3" spans="1:3" x14ac:dyDescent="0.2">
      <c r="A3" s="42" t="s">
        <v>40</v>
      </c>
      <c r="B3" s="91">
        <f>NPV(RESUMEN!C23,B13:B42)</f>
        <v>3329618385.3265162</v>
      </c>
    </row>
    <row r="4" spans="1:3" x14ac:dyDescent="0.2">
      <c r="A4" s="42" t="s">
        <v>41</v>
      </c>
      <c r="B4" s="91">
        <f>+B12</f>
        <v>117986600</v>
      </c>
    </row>
    <row r="5" spans="1:3" x14ac:dyDescent="0.2">
      <c r="A5" s="42" t="s">
        <v>42</v>
      </c>
      <c r="B5" s="46">
        <v>0</v>
      </c>
    </row>
    <row r="6" spans="1:3" x14ac:dyDescent="0.2">
      <c r="A6" s="42" t="s">
        <v>43</v>
      </c>
      <c r="B6" s="91">
        <f>-B5+B4+B3</f>
        <v>3447604985.3265162</v>
      </c>
      <c r="C6" s="127"/>
    </row>
    <row r="7" spans="1:3" x14ac:dyDescent="0.2">
      <c r="A7" s="42" t="s">
        <v>49</v>
      </c>
      <c r="B7" s="91">
        <f>PMT(RESUMEN!C23,RESUMEN!C24,B6)</f>
        <v>-489072197.89679998</v>
      </c>
    </row>
    <row r="9" spans="1:3" ht="15" x14ac:dyDescent="0.25">
      <c r="A9" s="235" t="s">
        <v>44</v>
      </c>
      <c r="B9" s="235"/>
    </row>
    <row r="10" spans="1:3" ht="15" x14ac:dyDescent="0.2">
      <c r="A10" s="234" t="s">
        <v>45</v>
      </c>
      <c r="B10" s="44" t="s">
        <v>46</v>
      </c>
    </row>
    <row r="11" spans="1:3" ht="15" x14ac:dyDescent="0.2">
      <c r="A11" s="234"/>
      <c r="B11" s="143" t="s">
        <v>48</v>
      </c>
    </row>
    <row r="12" spans="1:3" x14ac:dyDescent="0.2">
      <c r="A12" s="45" t="s">
        <v>41</v>
      </c>
      <c r="B12" s="43">
        <f>'CI Na_LED_CMH'!F33</f>
        <v>117986600</v>
      </c>
    </row>
    <row r="13" spans="1:3" x14ac:dyDescent="0.2">
      <c r="A13" s="45">
        <v>1</v>
      </c>
      <c r="B13" s="43">
        <f t="array" ref="B13:B42">TRANSPOSE('CAOM Na '!H33:AK33)</f>
        <v>296637276.29390407</v>
      </c>
      <c r="C13" s="127"/>
    </row>
    <row r="14" spans="1:3" x14ac:dyDescent="0.2">
      <c r="A14" s="45">
        <v>2</v>
      </c>
      <c r="B14" s="43">
        <v>312932408.41006875</v>
      </c>
      <c r="C14" s="127"/>
    </row>
    <row r="15" spans="1:3" x14ac:dyDescent="0.2">
      <c r="A15" s="45">
        <v>3</v>
      </c>
      <c r="B15" s="43">
        <v>359993064.67102253</v>
      </c>
      <c r="C15" s="127"/>
    </row>
    <row r="16" spans="1:3" x14ac:dyDescent="0.2">
      <c r="A16" s="45">
        <v>4</v>
      </c>
      <c r="B16" s="43">
        <v>348258196.35791272</v>
      </c>
      <c r="C16" s="127"/>
    </row>
    <row r="17" spans="1:3" x14ac:dyDescent="0.2">
      <c r="A17" s="45">
        <v>5</v>
      </c>
      <c r="B17" s="43">
        <v>404884071.18087858</v>
      </c>
      <c r="C17" s="127"/>
    </row>
    <row r="18" spans="1:3" x14ac:dyDescent="0.2">
      <c r="A18" s="45">
        <v>6</v>
      </c>
      <c r="B18" s="43">
        <v>421172927.59627539</v>
      </c>
      <c r="C18" s="127"/>
    </row>
    <row r="19" spans="1:3" x14ac:dyDescent="0.2">
      <c r="A19" s="45">
        <v>7</v>
      </c>
      <c r="B19" s="43">
        <v>408865429.57551676</v>
      </c>
      <c r="C19" s="127"/>
    </row>
    <row r="20" spans="1:3" x14ac:dyDescent="0.2">
      <c r="A20" s="45">
        <v>8</v>
      </c>
      <c r="B20" s="43">
        <v>431327825.47673434</v>
      </c>
      <c r="C20" s="127"/>
    </row>
    <row r="21" spans="1:3" x14ac:dyDescent="0.2">
      <c r="A21" s="45">
        <v>9</v>
      </c>
      <c r="B21" s="43">
        <v>492819836.23526645</v>
      </c>
      <c r="C21" s="127"/>
    </row>
    <row r="22" spans="1:3" x14ac:dyDescent="0.2">
      <c r="A22" s="45">
        <v>10</v>
      </c>
      <c r="B22" s="43">
        <v>525641021.479105</v>
      </c>
      <c r="C22" s="127"/>
    </row>
    <row r="23" spans="1:3" x14ac:dyDescent="0.2">
      <c r="A23" s="45">
        <v>11</v>
      </c>
      <c r="B23" s="43">
        <v>506396697.38343596</v>
      </c>
      <c r="C23" s="127"/>
    </row>
    <row r="24" spans="1:3" x14ac:dyDescent="0.2">
      <c r="A24" s="45">
        <v>12</v>
      </c>
      <c r="B24" s="43">
        <v>576733482.06017208</v>
      </c>
      <c r="C24" s="127"/>
    </row>
    <row r="25" spans="1:3" x14ac:dyDescent="0.2">
      <c r="A25" s="45">
        <v>13</v>
      </c>
      <c r="B25" s="43">
        <v>563570415.91273761</v>
      </c>
      <c r="C25" s="127"/>
    </row>
    <row r="26" spans="1:3" x14ac:dyDescent="0.2">
      <c r="A26" s="45">
        <v>14</v>
      </c>
      <c r="B26" s="43">
        <v>594534899.30012608</v>
      </c>
      <c r="C26" s="127"/>
    </row>
    <row r="27" spans="1:3" x14ac:dyDescent="0.2">
      <c r="A27" s="45">
        <v>15</v>
      </c>
      <c r="B27" s="43">
        <v>730524524.30355012</v>
      </c>
      <c r="C27" s="127"/>
    </row>
    <row r="28" spans="1:3" x14ac:dyDescent="0.2">
      <c r="A28" s="45">
        <v>16</v>
      </c>
      <c r="B28" s="43">
        <v>865379029.05399275</v>
      </c>
      <c r="C28" s="127"/>
    </row>
    <row r="29" spans="1:3" x14ac:dyDescent="0.2">
      <c r="A29" s="45">
        <v>17</v>
      </c>
      <c r="B29" s="43">
        <v>698018304.04192102</v>
      </c>
      <c r="C29" s="127"/>
    </row>
    <row r="30" spans="1:3" x14ac:dyDescent="0.2">
      <c r="A30" s="45">
        <v>18</v>
      </c>
      <c r="B30" s="43">
        <v>790166346.64990342</v>
      </c>
      <c r="C30" s="127"/>
    </row>
    <row r="31" spans="1:3" x14ac:dyDescent="0.2">
      <c r="A31" s="45">
        <v>19</v>
      </c>
      <c r="B31" s="43">
        <v>776833666.38759959</v>
      </c>
      <c r="C31" s="127"/>
    </row>
    <row r="32" spans="1:3" x14ac:dyDescent="0.2">
      <c r="A32" s="45">
        <v>20</v>
      </c>
      <c r="B32" s="43">
        <v>887043886.01161718</v>
      </c>
      <c r="C32" s="127"/>
    </row>
    <row r="33" spans="1:3" x14ac:dyDescent="0.2">
      <c r="A33" s="45">
        <v>21</v>
      </c>
      <c r="B33" s="43">
        <v>925062076.29949737</v>
      </c>
      <c r="C33" s="127"/>
    </row>
    <row r="34" spans="1:3" x14ac:dyDescent="0.2">
      <c r="A34" s="45">
        <v>22</v>
      </c>
      <c r="B34" s="43">
        <v>912057406.19070375</v>
      </c>
      <c r="C34" s="127"/>
    </row>
    <row r="35" spans="1:3" x14ac:dyDescent="0.2">
      <c r="A35" s="45">
        <v>23</v>
      </c>
      <c r="B35" s="43">
        <v>962175174.84649754</v>
      </c>
      <c r="C35" s="127"/>
    </row>
    <row r="36" spans="1:3" x14ac:dyDescent="0.2">
      <c r="A36" s="45">
        <v>24</v>
      </c>
      <c r="B36" s="43">
        <v>1083114609.3471737</v>
      </c>
      <c r="C36" s="127"/>
    </row>
    <row r="37" spans="1:3" x14ac:dyDescent="0.2">
      <c r="A37" s="45">
        <v>25</v>
      </c>
      <c r="B37" s="43">
        <v>1152980275.6792901</v>
      </c>
      <c r="C37" s="127"/>
    </row>
    <row r="38" spans="1:3" x14ac:dyDescent="0.2">
      <c r="A38" s="45">
        <v>26</v>
      </c>
      <c r="B38" s="43">
        <v>1129670512.2313409</v>
      </c>
      <c r="C38" s="127"/>
    </row>
    <row r="39" spans="1:3" x14ac:dyDescent="0.2">
      <c r="A39" s="45">
        <v>27</v>
      </c>
      <c r="B39" s="43">
        <v>1268315414.580914</v>
      </c>
      <c r="C39" s="127"/>
    </row>
    <row r="40" spans="1:3" x14ac:dyDescent="0.2">
      <c r="A40" s="45">
        <v>28</v>
      </c>
      <c r="B40" s="43">
        <v>1257240280.851228</v>
      </c>
      <c r="C40" s="127"/>
    </row>
    <row r="41" spans="1:3" x14ac:dyDescent="0.2">
      <c r="A41" s="45">
        <v>29</v>
      </c>
      <c r="B41" s="43">
        <v>1326331065.1320763</v>
      </c>
      <c r="C41" s="127"/>
    </row>
    <row r="42" spans="1:3" x14ac:dyDescent="0.2">
      <c r="A42" s="45">
        <v>30</v>
      </c>
      <c r="B42" s="43">
        <v>1585299098.5675311</v>
      </c>
      <c r="C42" s="127"/>
    </row>
  </sheetData>
  <mergeCells count="3">
    <mergeCell ref="A10:A11"/>
    <mergeCell ref="A1:B1"/>
    <mergeCell ref="A9:B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C42"/>
  <sheetViews>
    <sheetView workbookViewId="0">
      <selection activeCell="B7" sqref="B7"/>
    </sheetView>
  </sheetViews>
  <sheetFormatPr baseColWidth="10" defaultRowHeight="12.75" x14ac:dyDescent="0.2"/>
  <cols>
    <col min="2" max="2" width="24.5703125" bestFit="1" customWidth="1"/>
    <col min="3" max="3" width="15.85546875" bestFit="1" customWidth="1"/>
  </cols>
  <sheetData>
    <row r="1" spans="1:3" ht="15" x14ac:dyDescent="0.25">
      <c r="A1" s="235" t="s">
        <v>37</v>
      </c>
      <c r="B1" s="235"/>
    </row>
    <row r="2" spans="1:3" ht="15" x14ac:dyDescent="0.25">
      <c r="A2" s="139"/>
      <c r="B2" s="165" t="s">
        <v>113</v>
      </c>
    </row>
    <row r="3" spans="1:3" x14ac:dyDescent="0.2">
      <c r="A3" s="42" t="s">
        <v>40</v>
      </c>
      <c r="B3" s="91">
        <f>NPV(RESUMEN!C23,B13:B42)</f>
        <v>3456438231.824862</v>
      </c>
    </row>
    <row r="4" spans="1:3" x14ac:dyDescent="0.2">
      <c r="A4" s="42" t="s">
        <v>41</v>
      </c>
      <c r="B4" s="91">
        <f>+B12</f>
        <v>134614500</v>
      </c>
    </row>
    <row r="5" spans="1:3" x14ac:dyDescent="0.2">
      <c r="A5" s="42" t="s">
        <v>42</v>
      </c>
      <c r="B5" s="46">
        <v>0</v>
      </c>
    </row>
    <row r="6" spans="1:3" x14ac:dyDescent="0.2">
      <c r="A6" s="42" t="s">
        <v>43</v>
      </c>
      <c r="B6" s="91">
        <f>-B5+B4+B3</f>
        <v>3591052731.824862</v>
      </c>
      <c r="C6" s="127"/>
    </row>
    <row r="7" spans="1:3" x14ac:dyDescent="0.2">
      <c r="A7" s="42" t="s">
        <v>49</v>
      </c>
      <c r="B7" s="91">
        <f>PMT(RESUMEN!C23,RESUMEN!C24,B6)</f>
        <v>-509421485.2896086</v>
      </c>
      <c r="C7" s="91"/>
    </row>
    <row r="9" spans="1:3" ht="15" x14ac:dyDescent="0.25">
      <c r="A9" s="235" t="s">
        <v>44</v>
      </c>
      <c r="B9" s="235"/>
    </row>
    <row r="10" spans="1:3" ht="15" x14ac:dyDescent="0.2">
      <c r="A10" s="234" t="s">
        <v>45</v>
      </c>
      <c r="B10" s="131" t="s">
        <v>46</v>
      </c>
    </row>
    <row r="11" spans="1:3" ht="15" x14ac:dyDescent="0.2">
      <c r="A11" s="234"/>
      <c r="B11" s="166" t="s">
        <v>113</v>
      </c>
    </row>
    <row r="12" spans="1:3" x14ac:dyDescent="0.2">
      <c r="A12" s="45" t="s">
        <v>41</v>
      </c>
      <c r="B12" s="43">
        <f>'CI Na_LED_CMH'!F52</f>
        <v>134614500</v>
      </c>
    </row>
    <row r="13" spans="1:3" x14ac:dyDescent="0.2">
      <c r="A13" s="45">
        <v>1</v>
      </c>
      <c r="B13" s="164">
        <f t="array" ref="B13:B42">TRANSPOSE('CAOM CMH'!H33:AK33)</f>
        <v>297816431.60112482</v>
      </c>
      <c r="C13" s="127"/>
    </row>
    <row r="14" spans="1:3" x14ac:dyDescent="0.2">
      <c r="A14" s="45">
        <v>2</v>
      </c>
      <c r="B14" s="43">
        <v>360028849.85918665</v>
      </c>
      <c r="C14" s="127"/>
    </row>
    <row r="15" spans="1:3" x14ac:dyDescent="0.2">
      <c r="A15" s="45">
        <v>3</v>
      </c>
      <c r="B15" s="43">
        <v>331435748.56624192</v>
      </c>
      <c r="C15" s="127"/>
    </row>
    <row r="16" spans="1:3" x14ac:dyDescent="0.2">
      <c r="A16" s="45">
        <v>4</v>
      </c>
      <c r="B16" s="43">
        <v>399237162.44221723</v>
      </c>
      <c r="C16" s="127"/>
    </row>
    <row r="17" spans="1:3" x14ac:dyDescent="0.2">
      <c r="A17" s="45">
        <v>5</v>
      </c>
      <c r="B17" s="43">
        <v>405048152.29696923</v>
      </c>
      <c r="C17" s="127"/>
    </row>
    <row r="18" spans="1:3" x14ac:dyDescent="0.2">
      <c r="A18" s="45">
        <v>6</v>
      </c>
      <c r="B18" s="43">
        <v>442755904.38408482</v>
      </c>
      <c r="C18" s="127"/>
    </row>
    <row r="19" spans="1:3" x14ac:dyDescent="0.2">
      <c r="A19" s="45">
        <v>7</v>
      </c>
      <c r="B19" s="43">
        <v>410492539.06870109</v>
      </c>
      <c r="C19" s="127"/>
    </row>
    <row r="20" spans="1:3" x14ac:dyDescent="0.2">
      <c r="A20" s="45">
        <v>8</v>
      </c>
      <c r="B20" s="43">
        <v>491062381.00512975</v>
      </c>
      <c r="C20" s="127"/>
    </row>
    <row r="21" spans="1:3" x14ac:dyDescent="0.2">
      <c r="A21" s="45">
        <v>9</v>
      </c>
      <c r="B21" s="43">
        <v>456836092.7952925</v>
      </c>
      <c r="C21" s="127"/>
    </row>
    <row r="22" spans="1:3" x14ac:dyDescent="0.2">
      <c r="A22" s="45">
        <v>10</v>
      </c>
      <c r="B22" s="43">
        <v>588725786.49396157</v>
      </c>
      <c r="C22" s="127"/>
    </row>
    <row r="23" spans="1:3" x14ac:dyDescent="0.2">
      <c r="A23" s="45">
        <v>11</v>
      </c>
      <c r="B23" s="43">
        <v>508413353.65689725</v>
      </c>
      <c r="C23" s="127"/>
    </row>
    <row r="24" spans="1:3" x14ac:dyDescent="0.2">
      <c r="A24" s="45">
        <v>12</v>
      </c>
      <c r="B24" s="43">
        <v>604219405.78969359</v>
      </c>
      <c r="C24" s="127"/>
    </row>
    <row r="25" spans="1:3" x14ac:dyDescent="0.2">
      <c r="A25" s="45">
        <v>13</v>
      </c>
      <c r="B25" s="43">
        <v>565815512.72361577</v>
      </c>
      <c r="C25" s="127"/>
    </row>
    <row r="26" spans="1:3" x14ac:dyDescent="0.2">
      <c r="A26" s="45">
        <v>14</v>
      </c>
      <c r="B26" s="43">
        <v>670314698.32790577</v>
      </c>
      <c r="C26" s="127"/>
    </row>
    <row r="27" spans="1:3" x14ac:dyDescent="0.2">
      <c r="A27" s="45">
        <v>15</v>
      </c>
      <c r="B27" s="43">
        <v>683280422.21638966</v>
      </c>
      <c r="C27" s="127"/>
    </row>
    <row r="28" spans="1:3" x14ac:dyDescent="0.2">
      <c r="A28" s="45">
        <v>16</v>
      </c>
      <c r="B28" s="43">
        <v>918401059.09145856</v>
      </c>
      <c r="C28" s="127"/>
    </row>
    <row r="29" spans="1:3" x14ac:dyDescent="0.2">
      <c r="A29" s="45">
        <v>17</v>
      </c>
      <c r="B29" s="43">
        <v>700800791.06718576</v>
      </c>
      <c r="C29" s="127"/>
    </row>
    <row r="30" spans="1:3" x14ac:dyDescent="0.2">
      <c r="A30" s="45">
        <v>18</v>
      </c>
      <c r="B30" s="43">
        <v>825188274.71636033</v>
      </c>
      <c r="C30" s="127"/>
    </row>
    <row r="31" spans="1:3" x14ac:dyDescent="0.2">
      <c r="A31" s="45">
        <v>19</v>
      </c>
      <c r="B31" s="43">
        <v>779931286.74301231</v>
      </c>
      <c r="C31" s="127"/>
    </row>
    <row r="32" spans="1:3" x14ac:dyDescent="0.2">
      <c r="A32" s="45">
        <v>20</v>
      </c>
      <c r="B32" s="43">
        <v>980863876.99820781</v>
      </c>
      <c r="C32" s="127"/>
    </row>
    <row r="33" spans="1:3" x14ac:dyDescent="0.2">
      <c r="A33" s="45">
        <v>21</v>
      </c>
      <c r="B33" s="43">
        <v>867999181.57186043</v>
      </c>
      <c r="C33" s="127"/>
    </row>
    <row r="34" spans="1:3" x14ac:dyDescent="0.2">
      <c r="A34" s="45">
        <v>22</v>
      </c>
      <c r="B34" s="43">
        <v>1016163819.8265001</v>
      </c>
      <c r="C34" s="127"/>
    </row>
    <row r="35" spans="1:3" x14ac:dyDescent="0.2">
      <c r="A35" s="45">
        <v>23</v>
      </c>
      <c r="B35" s="43">
        <v>966014108.96314812</v>
      </c>
      <c r="C35" s="127"/>
    </row>
    <row r="36" spans="1:3" x14ac:dyDescent="0.2">
      <c r="A36" s="45">
        <v>24</v>
      </c>
      <c r="B36" s="43">
        <v>1127764222.3789928</v>
      </c>
      <c r="C36" s="127"/>
    </row>
    <row r="37" spans="1:3" x14ac:dyDescent="0.2">
      <c r="A37" s="45">
        <v>25</v>
      </c>
      <c r="B37" s="43">
        <v>1154411070.7242794</v>
      </c>
      <c r="C37" s="127"/>
    </row>
    <row r="38" spans="1:3" x14ac:dyDescent="0.2">
      <c r="A38" s="45">
        <v>26</v>
      </c>
      <c r="B38" s="43">
        <v>1251712936.9542158</v>
      </c>
      <c r="C38" s="127"/>
    </row>
    <row r="39" spans="1:3" x14ac:dyDescent="0.2">
      <c r="A39" s="45">
        <v>27</v>
      </c>
      <c r="B39" s="43">
        <v>1196506843.0874321</v>
      </c>
      <c r="C39" s="127"/>
    </row>
    <row r="40" spans="1:3" x14ac:dyDescent="0.2">
      <c r="A40" s="45">
        <v>28</v>
      </c>
      <c r="B40" s="43">
        <v>1389383981.1229155</v>
      </c>
      <c r="C40" s="127"/>
    </row>
    <row r="41" spans="1:3" x14ac:dyDescent="0.2">
      <c r="A41" s="45">
        <v>29</v>
      </c>
      <c r="B41" s="43">
        <v>1331627289.7648301</v>
      </c>
      <c r="C41" s="127"/>
    </row>
    <row r="42" spans="1:3" x14ac:dyDescent="0.2">
      <c r="A42" s="45">
        <v>30</v>
      </c>
      <c r="B42" s="43">
        <v>1638799223.4403188</v>
      </c>
      <c r="C42" s="127"/>
    </row>
  </sheetData>
  <mergeCells count="3">
    <mergeCell ref="A10:A11"/>
    <mergeCell ref="A1:B1"/>
    <mergeCell ref="A9:B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E43"/>
  <sheetViews>
    <sheetView workbookViewId="0">
      <selection activeCell="B7" sqref="B7"/>
    </sheetView>
  </sheetViews>
  <sheetFormatPr baseColWidth="10" defaultRowHeight="12.75" x14ac:dyDescent="0.2"/>
  <cols>
    <col min="2" max="2" width="25.5703125" customWidth="1"/>
    <col min="3" max="3" width="16.42578125" bestFit="1" customWidth="1"/>
    <col min="4" max="4" width="17" bestFit="1" customWidth="1"/>
    <col min="7" max="7" width="15.85546875" bestFit="1" customWidth="1"/>
  </cols>
  <sheetData>
    <row r="1" spans="1:3" ht="15" x14ac:dyDescent="0.25">
      <c r="A1" s="235" t="s">
        <v>37</v>
      </c>
      <c r="B1" s="235"/>
    </row>
    <row r="2" spans="1:3" ht="15" x14ac:dyDescent="0.25">
      <c r="A2" s="139"/>
      <c r="B2" s="144" t="s">
        <v>39</v>
      </c>
    </row>
    <row r="3" spans="1:3" x14ac:dyDescent="0.2">
      <c r="A3" s="42" t="s">
        <v>40</v>
      </c>
      <c r="B3" s="167">
        <f>NPV(RESUMEN!C23,B13:B42)</f>
        <v>1500139374.6101565</v>
      </c>
    </row>
    <row r="4" spans="1:3" x14ac:dyDescent="0.2">
      <c r="A4" s="42" t="s">
        <v>41</v>
      </c>
      <c r="B4" s="167">
        <f>+B12</f>
        <v>875050000</v>
      </c>
    </row>
    <row r="5" spans="1:3" x14ac:dyDescent="0.2">
      <c r="A5" s="42" t="s">
        <v>42</v>
      </c>
      <c r="B5" s="167">
        <v>0</v>
      </c>
    </row>
    <row r="6" spans="1:3" x14ac:dyDescent="0.2">
      <c r="A6" s="42" t="s">
        <v>43</v>
      </c>
      <c r="B6" s="167">
        <f>-B5+B4+B3</f>
        <v>2375189374.6101565</v>
      </c>
    </row>
    <row r="7" spans="1:3" x14ac:dyDescent="0.2">
      <c r="A7" s="42" t="s">
        <v>49</v>
      </c>
      <c r="B7" s="167">
        <f>PMT(RESUMEN!C23,RESUMEN!C24,B6)</f>
        <v>-336940888.76359433</v>
      </c>
    </row>
    <row r="9" spans="1:3" ht="15" x14ac:dyDescent="0.25">
      <c r="A9" s="235" t="s">
        <v>44</v>
      </c>
      <c r="B9" s="235"/>
    </row>
    <row r="10" spans="1:3" ht="15" x14ac:dyDescent="0.2">
      <c r="A10" s="234" t="s">
        <v>45</v>
      </c>
      <c r="B10" s="44" t="s">
        <v>46</v>
      </c>
    </row>
    <row r="11" spans="1:3" ht="15" x14ac:dyDescent="0.2">
      <c r="A11" s="234"/>
      <c r="B11" s="142" t="s">
        <v>39</v>
      </c>
    </row>
    <row r="12" spans="1:3" x14ac:dyDescent="0.2">
      <c r="A12" s="45" t="s">
        <v>41</v>
      </c>
      <c r="B12" s="167">
        <f>+'CI Na_LED_CMH'!F15</f>
        <v>875050000</v>
      </c>
    </row>
    <row r="13" spans="1:3" x14ac:dyDescent="0.2">
      <c r="A13" s="45">
        <v>1</v>
      </c>
      <c r="B13" s="167">
        <f t="array" ref="B13:B42">TRANSPOSE('CAOM LED '!H41:AK41)</f>
        <v>127751465.80913809</v>
      </c>
      <c r="C13" s="121"/>
    </row>
    <row r="14" spans="1:3" x14ac:dyDescent="0.2">
      <c r="A14" s="45">
        <v>2</v>
      </c>
      <c r="B14" s="167">
        <v>134758140.42864066</v>
      </c>
      <c r="C14" s="122"/>
    </row>
    <row r="15" spans="1:3" x14ac:dyDescent="0.2">
      <c r="A15" s="45">
        <v>3</v>
      </c>
      <c r="B15" s="167">
        <v>142149395.91221589</v>
      </c>
      <c r="C15" s="122"/>
    </row>
    <row r="16" spans="1:3" x14ac:dyDescent="0.2">
      <c r="A16" s="45">
        <v>4</v>
      </c>
      <c r="B16" s="167">
        <v>149946352.75778779</v>
      </c>
      <c r="C16" s="122"/>
    </row>
    <row r="17" spans="1:5" x14ac:dyDescent="0.2">
      <c r="A17" s="45">
        <v>5</v>
      </c>
      <c r="B17" s="167">
        <v>158171291.8326821</v>
      </c>
      <c r="C17" s="122"/>
      <c r="E17" s="65"/>
    </row>
    <row r="18" spans="1:5" x14ac:dyDescent="0.2">
      <c r="A18" s="45">
        <v>6</v>
      </c>
      <c r="B18" s="167">
        <v>166847718.14362425</v>
      </c>
      <c r="C18" s="122"/>
    </row>
    <row r="19" spans="1:5" x14ac:dyDescent="0.2">
      <c r="A19" s="45">
        <v>7</v>
      </c>
      <c r="B19" s="167">
        <v>176000428.11207399</v>
      </c>
      <c r="C19" s="121"/>
    </row>
    <row r="20" spans="1:5" x14ac:dyDescent="0.2">
      <c r="A20" s="45">
        <v>8</v>
      </c>
      <c r="B20" s="167">
        <v>185655580.54761052</v>
      </c>
      <c r="C20" s="122"/>
    </row>
    <row r="21" spans="1:5" x14ac:dyDescent="0.2">
      <c r="A21" s="45">
        <v>9</v>
      </c>
      <c r="B21" s="167">
        <v>195840771.52267644</v>
      </c>
      <c r="C21" s="121"/>
    </row>
    <row r="22" spans="1:5" x14ac:dyDescent="0.2">
      <c r="A22" s="45">
        <v>10</v>
      </c>
      <c r="B22" s="167">
        <v>206585113.36316884</v>
      </c>
      <c r="C22" s="122"/>
    </row>
    <row r="23" spans="1:5" x14ac:dyDescent="0.2">
      <c r="A23" s="45">
        <v>11</v>
      </c>
      <c r="B23" s="167">
        <v>217919317.98115817</v>
      </c>
      <c r="C23" s="121"/>
    </row>
    <row r="24" spans="1:5" x14ac:dyDescent="0.2">
      <c r="A24" s="45">
        <v>12</v>
      </c>
      <c r="B24" s="167">
        <v>229875784.78845748</v>
      </c>
      <c r="C24" s="122"/>
    </row>
    <row r="25" spans="1:5" x14ac:dyDescent="0.2">
      <c r="A25" s="45">
        <v>13</v>
      </c>
      <c r="B25" s="167">
        <v>242488693.44289172</v>
      </c>
      <c r="C25" s="121"/>
    </row>
    <row r="26" spans="1:5" x14ac:dyDescent="0.2">
      <c r="A26" s="45">
        <v>14</v>
      </c>
      <c r="B26" s="167">
        <v>255794101.69296259</v>
      </c>
      <c r="C26" s="122"/>
    </row>
    <row r="27" spans="1:5" x14ac:dyDescent="0.2">
      <c r="A27" s="45">
        <v>15</v>
      </c>
      <c r="B27" s="167">
        <v>269830048.60121584</v>
      </c>
      <c r="C27" s="121"/>
    </row>
    <row r="28" spans="1:5" x14ac:dyDescent="0.2">
      <c r="A28" s="45">
        <v>16</v>
      </c>
      <c r="B28" s="167">
        <v>1357330482.4949069</v>
      </c>
      <c r="C28" s="122"/>
    </row>
    <row r="29" spans="1:5" x14ac:dyDescent="0.2">
      <c r="A29" s="45">
        <v>17</v>
      </c>
      <c r="B29" s="167">
        <v>300256280.58579594</v>
      </c>
      <c r="C29" s="121"/>
    </row>
    <row r="30" spans="1:5" x14ac:dyDescent="0.2">
      <c r="A30" s="45">
        <v>18</v>
      </c>
      <c r="B30" s="167">
        <v>316733560.69864869</v>
      </c>
      <c r="C30" s="122"/>
    </row>
    <row r="31" spans="1:5" x14ac:dyDescent="0.2">
      <c r="A31" s="45">
        <v>19</v>
      </c>
      <c r="B31" s="167">
        <v>334115618.60493374</v>
      </c>
      <c r="C31" s="121"/>
    </row>
    <row r="32" spans="1:5" x14ac:dyDescent="0.2">
      <c r="A32" s="45">
        <v>20</v>
      </c>
      <c r="B32" s="167">
        <v>352452158.17877877</v>
      </c>
      <c r="C32" s="122"/>
    </row>
    <row r="33" spans="1:3" x14ac:dyDescent="0.2">
      <c r="A33" s="45">
        <v>21</v>
      </c>
      <c r="B33" s="167">
        <v>371795614.65120828</v>
      </c>
      <c r="C33" s="121"/>
    </row>
    <row r="34" spans="1:3" x14ac:dyDescent="0.2">
      <c r="A34" s="45">
        <v>22</v>
      </c>
      <c r="B34" s="167">
        <v>392201304.74052519</v>
      </c>
      <c r="C34" s="122"/>
    </row>
    <row r="35" spans="1:3" x14ac:dyDescent="0.2">
      <c r="A35" s="45">
        <v>23</v>
      </c>
      <c r="B35" s="167">
        <v>413727585.03609461</v>
      </c>
      <c r="C35" s="121"/>
    </row>
    <row r="36" spans="1:3" x14ac:dyDescent="0.2">
      <c r="A36" s="45">
        <v>24</v>
      </c>
      <c r="B36" s="167">
        <v>436436019.08931404</v>
      </c>
      <c r="C36" s="122"/>
    </row>
    <row r="37" spans="1:3" x14ac:dyDescent="0.2">
      <c r="A37" s="45">
        <v>25</v>
      </c>
      <c r="B37" s="167">
        <v>460391553.6905098</v>
      </c>
      <c r="C37" s="121"/>
    </row>
    <row r="38" spans="1:3" x14ac:dyDescent="0.2">
      <c r="A38" s="45">
        <v>26</v>
      </c>
      <c r="B38" s="167">
        <v>485662704.83682275</v>
      </c>
      <c r="C38" s="122"/>
    </row>
    <row r="39" spans="1:3" x14ac:dyDescent="0.2">
      <c r="A39" s="45">
        <v>27</v>
      </c>
      <c r="B39" s="167">
        <v>512321753.92391622</v>
      </c>
      <c r="C39" s="121"/>
    </row>
    <row r="40" spans="1:3" x14ac:dyDescent="0.2">
      <c r="A40" s="45">
        <v>28</v>
      </c>
      <c r="B40" s="167">
        <v>540444954.72364259</v>
      </c>
      <c r="C40" s="122"/>
    </row>
    <row r="41" spans="1:3" x14ac:dyDescent="0.2">
      <c r="A41" s="45">
        <v>29</v>
      </c>
      <c r="B41" s="167">
        <v>570112751.74071038</v>
      </c>
      <c r="C41" s="121"/>
    </row>
    <row r="42" spans="1:3" x14ac:dyDescent="0.2">
      <c r="A42" s="45">
        <v>30</v>
      </c>
      <c r="B42" s="167">
        <v>601410010.57400751</v>
      </c>
      <c r="C42" s="122"/>
    </row>
    <row r="43" spans="1:3" x14ac:dyDescent="0.2">
      <c r="B43" s="76"/>
    </row>
  </sheetData>
  <mergeCells count="3">
    <mergeCell ref="A10:A11"/>
    <mergeCell ref="A1:B1"/>
    <mergeCell ref="A9:B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F13"/>
  <sheetViews>
    <sheetView workbookViewId="0">
      <selection activeCell="B7" sqref="B7"/>
    </sheetView>
  </sheetViews>
  <sheetFormatPr baseColWidth="10" defaultRowHeight="12.75" x14ac:dyDescent="0.2"/>
  <cols>
    <col min="1" max="1" width="25.7109375" customWidth="1"/>
    <col min="2" max="2" width="15.85546875" customWidth="1"/>
    <col min="3" max="3" width="14" customWidth="1"/>
    <col min="4" max="4" width="3.5703125" bestFit="1" customWidth="1"/>
    <col min="5" max="5" width="18.28515625" bestFit="1" customWidth="1"/>
    <col min="6" max="6" width="17.42578125" bestFit="1" customWidth="1"/>
  </cols>
  <sheetData>
    <row r="1" spans="1:6" x14ac:dyDescent="0.2">
      <c r="A1" s="59"/>
      <c r="B1" s="59"/>
      <c r="C1" s="60"/>
      <c r="D1" s="60"/>
      <c r="E1" s="60"/>
    </row>
    <row r="2" spans="1:6" x14ac:dyDescent="0.2">
      <c r="A2" s="236" t="s">
        <v>58</v>
      </c>
      <c r="B2" s="236"/>
      <c r="C2" s="236"/>
      <c r="D2" s="236"/>
      <c r="E2" s="236"/>
      <c r="F2" s="236"/>
    </row>
    <row r="3" spans="1:6" x14ac:dyDescent="0.2">
      <c r="A3" s="237" t="s">
        <v>51</v>
      </c>
      <c r="B3" s="237"/>
      <c r="C3" s="237"/>
      <c r="D3" s="237"/>
      <c r="E3" s="237"/>
      <c r="F3" s="237"/>
    </row>
    <row r="4" spans="1:6" ht="3.75" customHeight="1" x14ac:dyDescent="0.2"/>
    <row r="5" spans="1:6" x14ac:dyDescent="0.2">
      <c r="A5" s="238" t="s">
        <v>52</v>
      </c>
      <c r="B5" s="240" t="s">
        <v>38</v>
      </c>
      <c r="C5" s="241"/>
      <c r="D5" s="241"/>
      <c r="E5" s="241"/>
      <c r="F5" s="242"/>
    </row>
    <row r="6" spans="1:6" x14ac:dyDescent="0.2">
      <c r="A6" s="239"/>
      <c r="B6" s="61" t="s">
        <v>40</v>
      </c>
      <c r="C6" s="61" t="s">
        <v>41</v>
      </c>
      <c r="D6" s="61" t="s">
        <v>42</v>
      </c>
      <c r="E6" s="61" t="s">
        <v>43</v>
      </c>
      <c r="F6" s="61" t="s">
        <v>49</v>
      </c>
    </row>
    <row r="7" spans="1:6" s="65" customFormat="1" ht="27" customHeight="1" x14ac:dyDescent="0.2">
      <c r="A7" s="62" t="s">
        <v>75</v>
      </c>
      <c r="B7" s="63">
        <f>+'CAUE Na'!B3</f>
        <v>3329618385.3265162</v>
      </c>
      <c r="C7" s="64">
        <f>+'CAUE Na'!B4</f>
        <v>117986600</v>
      </c>
      <c r="D7" s="64">
        <f>+'CAUE Na'!B5</f>
        <v>0</v>
      </c>
      <c r="E7" s="64">
        <f>+'CAUE Na'!B6</f>
        <v>3447604985.3265162</v>
      </c>
      <c r="F7" s="64">
        <f>+'CAUE Na'!B7</f>
        <v>-489072197.89679998</v>
      </c>
    </row>
    <row r="9" spans="1:6" s="67" customFormat="1" ht="16.5" customHeight="1" x14ac:dyDescent="0.15">
      <c r="A9" s="66" t="s">
        <v>53</v>
      </c>
      <c r="B9" s="66"/>
    </row>
    <row r="10" spans="1:6" s="67" customFormat="1" ht="16.5" customHeight="1" x14ac:dyDescent="0.15">
      <c r="A10" s="66" t="s">
        <v>54</v>
      </c>
    </row>
    <row r="11" spans="1:6" s="67" customFormat="1" ht="16.5" customHeight="1" x14ac:dyDescent="0.15">
      <c r="A11" s="66" t="s">
        <v>55</v>
      </c>
    </row>
    <row r="12" spans="1:6" s="67" customFormat="1" ht="16.5" customHeight="1" x14ac:dyDescent="0.15">
      <c r="A12" s="66" t="s">
        <v>56</v>
      </c>
    </row>
    <row r="13" spans="1:6" s="67" customFormat="1" ht="16.5" customHeight="1" x14ac:dyDescent="0.15">
      <c r="A13" s="66" t="s">
        <v>59</v>
      </c>
    </row>
  </sheetData>
  <mergeCells count="4">
    <mergeCell ref="A2:F2"/>
    <mergeCell ref="A3:F3"/>
    <mergeCell ref="A5:A6"/>
    <mergeCell ref="B5:F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14" baseType="lpstr">
      <vt:lpstr>RESUMEN</vt:lpstr>
      <vt:lpstr>CI Na_LED_CMH</vt:lpstr>
      <vt:lpstr>CAOM Na </vt:lpstr>
      <vt:lpstr>CAOM CMH</vt:lpstr>
      <vt:lpstr>CAOM LED </vt:lpstr>
      <vt:lpstr>CAUE Na</vt:lpstr>
      <vt:lpstr>CAUE CMH</vt:lpstr>
      <vt:lpstr>CAUE LED</vt:lpstr>
      <vt:lpstr>COSTOS Na</vt:lpstr>
      <vt:lpstr>COSTOS CMH</vt:lpstr>
      <vt:lpstr>COSTOS LED</vt:lpstr>
      <vt:lpstr>Gráfico1</vt:lpstr>
      <vt:lpstr>'CI Na_LED_CMH'!Área_de_impresión</vt:lpstr>
      <vt:lpstr>RESUMEN!Área_de_impresión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LARRY MOSQUERA CARRILLO</dc:creator>
  <cp:lastModifiedBy>Familia</cp:lastModifiedBy>
  <cp:lastPrinted>2013-11-19T17:25:54Z</cp:lastPrinted>
  <dcterms:created xsi:type="dcterms:W3CDTF">2012-03-13T16:02:24Z</dcterms:created>
  <dcterms:modified xsi:type="dcterms:W3CDTF">2015-02-24T04:25:34Z</dcterms:modified>
</cp:coreProperties>
</file>